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420" yWindow="-90" windowWidth="13455" windowHeight="11025" tabRatio="862"/>
  </bookViews>
  <sheets>
    <sheet name="NASLOVNICA" sheetId="15" r:id="rId1"/>
    <sheet name="SADRŽAJ" sheetId="16" r:id="rId2"/>
    <sheet name="OPĆI OPIS" sheetId="22" r:id="rId3"/>
    <sheet name="OPĆI UVJETI_GRAĐ" sheetId="37" r:id="rId4"/>
    <sheet name="A_GRAĐ-OBRT" sheetId="1" r:id="rId5"/>
    <sheet name="B_VIO" sheetId="42" r:id="rId6"/>
    <sheet name="OPĆI UVJETI_ELE" sheetId="39" r:id="rId7"/>
    <sheet name="C_ELEKTROINSTALACIJE" sheetId="34" r:id="rId8"/>
    <sheet name="REKAPITULACIJA" sheetId="24" r:id="rId9"/>
  </sheets>
  <definedNames>
    <definedName name="_xlnm.Print_Area" localSheetId="4">'A_GRAĐ-OBRT'!$A$1:$F$433</definedName>
    <definedName name="_xlnm.Print_Area" localSheetId="5">B_VIO!$A$1:$F$117</definedName>
    <definedName name="_xlnm.Print_Area" localSheetId="7">C_ELEKTROINSTALACIJE!$A$1:$F$182</definedName>
    <definedName name="_xlnm.Print_Area" localSheetId="0">NASLOVNICA!$A$1:$J$32</definedName>
    <definedName name="_xlnm.Print_Area" localSheetId="2">'OPĆI OPIS'!$A$1:$A$71</definedName>
    <definedName name="_xlnm.Print_Area" localSheetId="6">'OPĆI UVJETI_ELE'!$A$1:$A$29</definedName>
    <definedName name="_xlnm.Print_Area" localSheetId="3">'OPĆI UVJETI_GRAĐ'!$A$1:$A$115</definedName>
    <definedName name="_xlnm.Print_Area" localSheetId="8">REKAPITULACIJA!$A$1:$F$21</definedName>
    <definedName name="_xlnm.Print_Area" localSheetId="1">SADRŽAJ!$A$1:$C$21</definedName>
    <definedName name="_xlnm.Print_Titles" localSheetId="4">'A_GRAĐ-OBRT'!$1:$8</definedName>
    <definedName name="_xlnm.Print_Titles" localSheetId="5">B_VIO!$1:$8</definedName>
    <definedName name="_xlnm.Print_Titles" localSheetId="7">C_ELEKTROINSTALACIJE!$1:$8</definedName>
  </definedNames>
  <calcPr calcId="145621"/>
</workbook>
</file>

<file path=xl/calcChain.xml><?xml version="1.0" encoding="utf-8"?>
<calcChain xmlns="http://schemas.openxmlformats.org/spreadsheetml/2006/main">
  <c r="F113" i="34" l="1"/>
  <c r="F156" i="34"/>
  <c r="F154" i="34"/>
  <c r="F152" i="34"/>
  <c r="F150" i="34"/>
  <c r="F148" i="34"/>
  <c r="F146" i="34"/>
  <c r="F144" i="34"/>
  <c r="F142" i="34"/>
  <c r="A133" i="34"/>
  <c r="A125" i="34"/>
  <c r="F135" i="34"/>
  <c r="F133" i="34"/>
  <c r="F132" i="34"/>
  <c r="F129" i="34"/>
  <c r="F127" i="34"/>
  <c r="F125" i="34"/>
  <c r="F124" i="34"/>
  <c r="F121" i="34"/>
  <c r="A100" i="34"/>
  <c r="A101" i="34" s="1"/>
  <c r="A102" i="34" s="1"/>
  <c r="A103" i="34" s="1"/>
  <c r="A104" i="34" s="1"/>
  <c r="A105" i="34" s="1"/>
  <c r="A106" i="34" s="1"/>
  <c r="F100" i="34"/>
  <c r="F101" i="34"/>
  <c r="F102" i="34"/>
  <c r="F103" i="34"/>
  <c r="F104" i="34"/>
  <c r="F105" i="34"/>
  <c r="F106" i="34"/>
  <c r="F99" i="34"/>
  <c r="F91" i="34"/>
  <c r="F89" i="34"/>
  <c r="F87" i="34"/>
  <c r="F85" i="34"/>
  <c r="F83" i="34"/>
  <c r="F81" i="34"/>
  <c r="F79" i="34"/>
  <c r="F77" i="34"/>
  <c r="F70" i="34"/>
  <c r="F68" i="34"/>
  <c r="F66" i="34"/>
  <c r="B170" i="34"/>
  <c r="B172" i="34"/>
  <c r="B174" i="34"/>
  <c r="B176" i="34"/>
  <c r="B178" i="34"/>
  <c r="B180" i="34"/>
  <c r="A140" i="34"/>
  <c r="B158" i="34" s="1"/>
  <c r="F158" i="34"/>
  <c r="F180" i="34" s="1"/>
  <c r="A118" i="34"/>
  <c r="B137" i="34" s="1"/>
  <c r="A111" i="34"/>
  <c r="A176" i="34" s="1"/>
  <c r="A96" i="34"/>
  <c r="B108" i="34" s="1"/>
  <c r="F115" i="34"/>
  <c r="F176" i="34" s="1"/>
  <c r="A75" i="34"/>
  <c r="A172" i="34" s="1"/>
  <c r="A64" i="34"/>
  <c r="A170" i="34" s="1"/>
  <c r="F59" i="34"/>
  <c r="F57" i="34"/>
  <c r="F55" i="34"/>
  <c r="F53" i="34"/>
  <c r="A42" i="34"/>
  <c r="A43" i="34" s="1"/>
  <c r="A44" i="34" s="1"/>
  <c r="A26" i="34"/>
  <c r="A27" i="34" s="1"/>
  <c r="A28" i="34" s="1"/>
  <c r="A29" i="34" s="1"/>
  <c r="A30" i="34" s="1"/>
  <c r="A31" i="34" s="1"/>
  <c r="A32" i="34" s="1"/>
  <c r="A33" i="34" s="1"/>
  <c r="A34" i="34" s="1"/>
  <c r="A35" i="34" s="1"/>
  <c r="A36" i="34" s="1"/>
  <c r="F46" i="34"/>
  <c r="F44" i="34"/>
  <c r="F43" i="34"/>
  <c r="F42" i="34"/>
  <c r="F41" i="34"/>
  <c r="F26" i="34"/>
  <c r="F27" i="34"/>
  <c r="F28" i="34"/>
  <c r="F29" i="34"/>
  <c r="F30" i="34"/>
  <c r="F31" i="34"/>
  <c r="F32" i="34"/>
  <c r="F33" i="34"/>
  <c r="F34" i="34"/>
  <c r="F35" i="34"/>
  <c r="F36" i="34"/>
  <c r="F38" i="34"/>
  <c r="F25" i="34"/>
  <c r="F17" i="34"/>
  <c r="F15" i="34"/>
  <c r="F13" i="34"/>
  <c r="F11" i="34"/>
  <c r="F385" i="1"/>
  <c r="F399" i="1"/>
  <c r="F397" i="1"/>
  <c r="F395" i="1"/>
  <c r="F392" i="1"/>
  <c r="F390" i="1"/>
  <c r="F388" i="1"/>
  <c r="F362" i="1"/>
  <c r="B431" i="1"/>
  <c r="A342" i="1"/>
  <c r="B401" i="1" s="1"/>
  <c r="A142" i="34" l="1"/>
  <c r="A120" i="34"/>
  <c r="A123" i="34" s="1"/>
  <c r="A127" i="34" s="1"/>
  <c r="A144" i="34"/>
  <c r="A146" i="34" s="1"/>
  <c r="F137" i="34"/>
  <c r="F178" i="34" s="1"/>
  <c r="F108" i="34"/>
  <c r="F174" i="34" s="1"/>
  <c r="A113" i="34"/>
  <c r="A98" i="34"/>
  <c r="A77" i="34"/>
  <c r="A79" i="34" s="1"/>
  <c r="A66" i="34"/>
  <c r="A68" i="34" s="1"/>
  <c r="A70" i="34" s="1"/>
  <c r="A174" i="34"/>
  <c r="A178" i="34"/>
  <c r="A180" i="34"/>
  <c r="B115" i="34"/>
  <c r="F93" i="34"/>
  <c r="F172" i="34" s="1"/>
  <c r="F72" i="34"/>
  <c r="F170" i="34" s="1"/>
  <c r="B93" i="34"/>
  <c r="B72" i="34"/>
  <c r="F401" i="1"/>
  <c r="F431" i="1" s="1"/>
  <c r="A431" i="1"/>
  <c r="A344" i="1"/>
  <c r="A364" i="1" s="1"/>
  <c r="A387" i="1" s="1"/>
  <c r="A148" i="34" l="1"/>
  <c r="A129" i="34"/>
  <c r="A81" i="34"/>
  <c r="A83" i="34" s="1"/>
  <c r="A390" i="1"/>
  <c r="A392" i="1" s="1"/>
  <c r="A150" i="34" l="1"/>
  <c r="A131" i="34"/>
  <c r="A135" i="34" s="1"/>
  <c r="A85" i="34"/>
  <c r="A87" i="34" s="1"/>
  <c r="A394" i="1"/>
  <c r="A397" i="1" s="1"/>
  <c r="A152" i="34" l="1"/>
  <c r="A154" i="34" s="1"/>
  <c r="A156" i="34" s="1"/>
  <c r="A89" i="34"/>
  <c r="A91" i="34" s="1"/>
  <c r="A399" i="1"/>
  <c r="A39" i="1" l="1"/>
  <c r="F47" i="1" l="1"/>
  <c r="D269" i="1" l="1"/>
  <c r="D270" i="1"/>
  <c r="D106" i="1" l="1"/>
  <c r="D101" i="1"/>
  <c r="D49" i="42"/>
  <c r="D63" i="42" s="1"/>
  <c r="D33" i="42"/>
  <c r="D34" i="42"/>
  <c r="D141" i="1" l="1"/>
  <c r="D37" i="42"/>
  <c r="D183" i="1"/>
  <c r="D155" i="1"/>
  <c r="D74" i="1"/>
  <c r="F112" i="1" l="1"/>
  <c r="F337" i="1" l="1"/>
  <c r="F335" i="1" l="1"/>
  <c r="F333" i="1"/>
  <c r="F331" i="1"/>
  <c r="F327" i="1"/>
  <c r="F324" i="1"/>
  <c r="B405" i="1"/>
  <c r="B407" i="1"/>
  <c r="B409" i="1"/>
  <c r="F339" i="1" l="1"/>
  <c r="B429" i="1"/>
  <c r="A295" i="1"/>
  <c r="D191" i="1"/>
  <c r="D229" i="1"/>
  <c r="F229" i="1" s="1"/>
  <c r="A297" i="1" l="1"/>
  <c r="A326" i="1" s="1"/>
  <c r="A329" i="1" s="1"/>
  <c r="B339" i="1"/>
  <c r="A429" i="1"/>
  <c r="D228" i="1"/>
  <c r="D86" i="42"/>
  <c r="F74" i="1"/>
  <c r="F278" i="1"/>
  <c r="D242" i="1"/>
  <c r="D238" i="1"/>
  <c r="D198" i="1"/>
  <c r="F82" i="1"/>
  <c r="D257" i="1"/>
  <c r="F202" i="1"/>
  <c r="A275" i="1"/>
  <c r="B275" i="1"/>
  <c r="C275" i="1"/>
  <c r="D275" i="1"/>
  <c r="F275" i="1" s="1"/>
  <c r="D274" i="1"/>
  <c r="F274" i="1" s="1"/>
  <c r="C274" i="1"/>
  <c r="B274" i="1"/>
  <c r="A274" i="1"/>
  <c r="B269" i="1"/>
  <c r="C269" i="1"/>
  <c r="B270" i="1"/>
  <c r="C270" i="1"/>
  <c r="A79" i="42"/>
  <c r="F101" i="42"/>
  <c r="F228" i="1" l="1"/>
  <c r="D187" i="1"/>
  <c r="A333" i="1"/>
  <c r="A335" i="1" s="1"/>
  <c r="D199" i="1"/>
  <c r="A337" i="1" l="1"/>
  <c r="A97" i="42"/>
  <c r="F97" i="42"/>
  <c r="F96" i="42"/>
  <c r="A45" i="42"/>
  <c r="F79" i="42"/>
  <c r="D60" i="42"/>
  <c r="D53" i="42"/>
  <c r="A29" i="42"/>
  <c r="F40" i="42"/>
  <c r="A34" i="42"/>
  <c r="A31" i="1"/>
  <c r="F31" i="1"/>
  <c r="F30" i="1"/>
  <c r="A10" i="42"/>
  <c r="A265" i="1"/>
  <c r="A247" i="1"/>
  <c r="A234" i="1"/>
  <c r="A207" i="1"/>
  <c r="A179" i="1"/>
  <c r="A161" i="1"/>
  <c r="A146" i="1"/>
  <c r="A129" i="1"/>
  <c r="D260" i="1"/>
  <c r="D250" i="1"/>
  <c r="D215" i="1"/>
  <c r="F191" i="1"/>
  <c r="F199" i="1"/>
  <c r="F198" i="1"/>
  <c r="A174" i="1"/>
  <c r="F174" i="1"/>
  <c r="F173" i="1"/>
  <c r="D156" i="1"/>
  <c r="D137" i="1"/>
  <c r="D150" i="1" s="1"/>
  <c r="F150" i="1" s="1"/>
  <c r="A117" i="1"/>
  <c r="D124" i="1"/>
  <c r="F109" i="1"/>
  <c r="F98" i="1"/>
  <c r="D87" i="1"/>
  <c r="D86" i="1"/>
  <c r="D91" i="1" s="1"/>
  <c r="D66" i="1"/>
  <c r="D13" i="1"/>
  <c r="F53" i="1"/>
  <c r="F52" i="1"/>
  <c r="F39" i="1"/>
  <c r="F270" i="1" s="1"/>
  <c r="F38" i="1"/>
  <c r="F269" i="1" s="1"/>
  <c r="F34" i="1"/>
  <c r="D133" i="1" l="1"/>
  <c r="D78" i="1"/>
  <c r="F78" i="1" s="1"/>
  <c r="F429" i="1" s="1"/>
  <c r="A32" i="1"/>
  <c r="A267" i="1"/>
  <c r="A270" i="1"/>
  <c r="A269" i="1"/>
  <c r="A148" i="1"/>
  <c r="A272" i="1" l="1"/>
  <c r="A277" i="1" l="1"/>
  <c r="A87" i="42"/>
  <c r="A88" i="42" s="1"/>
  <c r="F92" i="42"/>
  <c r="F88" i="42"/>
  <c r="F87" i="42"/>
  <c r="F86" i="42"/>
  <c r="F82" i="42"/>
  <c r="F78" i="42"/>
  <c r="F74" i="42"/>
  <c r="F53" i="42"/>
  <c r="F57" i="42"/>
  <c r="F66" i="42"/>
  <c r="F63" i="42"/>
  <c r="F60" i="42"/>
  <c r="F49" i="42"/>
  <c r="F37" i="42"/>
  <c r="F34" i="42"/>
  <c r="F33" i="42"/>
  <c r="A17" i="42"/>
  <c r="A18" i="42" s="1"/>
  <c r="F24" i="42"/>
  <c r="F21" i="42"/>
  <c r="F18" i="42"/>
  <c r="F17" i="42"/>
  <c r="F16" i="42"/>
  <c r="F26" i="42" l="1"/>
  <c r="F103" i="42"/>
  <c r="F42" i="42"/>
  <c r="F68" i="42"/>
  <c r="F257" i="1" l="1"/>
  <c r="F260" i="1" l="1"/>
  <c r="F250" i="1"/>
  <c r="F262" i="1" l="1"/>
  <c r="F106" i="1"/>
  <c r="A106" i="1"/>
  <c r="F105" i="1"/>
  <c r="F62" i="1"/>
  <c r="F57" i="1"/>
  <c r="F58" i="1"/>
  <c r="A58" i="1"/>
  <c r="F19" i="34"/>
  <c r="F164" i="34" s="1"/>
  <c r="F48" i="34"/>
  <c r="F166" i="34" s="1"/>
  <c r="F61" i="34"/>
  <c r="F168" i="34" s="1"/>
  <c r="F182" i="34" l="1"/>
  <c r="A287" i="1"/>
  <c r="A156" i="1"/>
  <c r="A97" i="1" l="1"/>
  <c r="A98" i="1" s="1"/>
  <c r="A87" i="1"/>
  <c r="A71" i="1"/>
  <c r="A33" i="1"/>
  <c r="A34" i="1" s="1"/>
  <c r="B12" i="24" l="1"/>
  <c r="B14" i="24"/>
  <c r="A12" i="24"/>
  <c r="B9" i="16"/>
  <c r="A9" i="16"/>
  <c r="B117" i="42" l="1"/>
  <c r="B115" i="42"/>
  <c r="B113" i="42"/>
  <c r="B111" i="42"/>
  <c r="B109" i="42"/>
  <c r="B107" i="42"/>
  <c r="F115" i="42"/>
  <c r="A71" i="42"/>
  <c r="F113" i="42"/>
  <c r="F111" i="42"/>
  <c r="F109" i="42"/>
  <c r="A47" i="42" l="1"/>
  <c r="F117" i="42"/>
  <c r="F12" i="24" s="1"/>
  <c r="A111" i="42"/>
  <c r="A31" i="42"/>
  <c r="B103" i="42"/>
  <c r="A73" i="42"/>
  <c r="A76" i="42" s="1"/>
  <c r="A115" i="42"/>
  <c r="B26" i="42"/>
  <c r="B42" i="42"/>
  <c r="B68" i="42"/>
  <c r="A113" i="42"/>
  <c r="A109" i="42"/>
  <c r="A51" i="34"/>
  <c r="A22" i="34"/>
  <c r="A24" i="34" l="1"/>
  <c r="A38" i="34" s="1"/>
  <c r="A40" i="34" s="1"/>
  <c r="A46" i="34" s="1"/>
  <c r="A53" i="34"/>
  <c r="A55" i="34" s="1"/>
  <c r="A57" i="34" s="1"/>
  <c r="A81" i="42"/>
  <c r="A51" i="42"/>
  <c r="A14" i="42"/>
  <c r="A59" i="34" l="1"/>
  <c r="A84" i="42"/>
  <c r="A90" i="42" s="1"/>
  <c r="A55" i="42"/>
  <c r="A59" i="42" s="1"/>
  <c r="A36" i="42"/>
  <c r="A39" i="42" s="1"/>
  <c r="A20" i="42"/>
  <c r="A209" i="1"/>
  <c r="A217" i="1" s="1"/>
  <c r="A165" i="1"/>
  <c r="A170" i="1" s="1"/>
  <c r="B182" i="34"/>
  <c r="B433" i="1"/>
  <c r="A94" i="42" l="1"/>
  <c r="A99" i="42" s="1"/>
  <c r="A62" i="42"/>
  <c r="A65" i="42" s="1"/>
  <c r="A23" i="42"/>
  <c r="A181" i="1"/>
  <c r="A185" i="1" l="1"/>
  <c r="F168" i="1"/>
  <c r="F176" i="1" l="1"/>
  <c r="F215" i="1" l="1"/>
  <c r="A152" i="1" l="1"/>
  <c r="F231" i="1"/>
  <c r="F242" i="1" l="1"/>
  <c r="F238" i="1"/>
  <c r="F244" i="1" l="1"/>
  <c r="F290" i="1"/>
  <c r="F287" i="1"/>
  <c r="F286" i="1"/>
  <c r="F282" i="1"/>
  <c r="F292" i="1" l="1"/>
  <c r="B10" i="24" l="1"/>
  <c r="F187" i="1" l="1"/>
  <c r="F183" i="1" l="1"/>
  <c r="F204" i="1" l="1"/>
  <c r="F156" i="1"/>
  <c r="F155" i="1"/>
  <c r="F158" i="1" l="1"/>
  <c r="F141" i="1" l="1"/>
  <c r="F137" i="1"/>
  <c r="F133" i="1"/>
  <c r="F124" i="1"/>
  <c r="F121" i="1"/>
  <c r="F101" i="1"/>
  <c r="F97" i="1"/>
  <c r="F96" i="1"/>
  <c r="F86" i="1"/>
  <c r="F87" i="1"/>
  <c r="F91" i="1"/>
  <c r="F71" i="1"/>
  <c r="F70" i="1"/>
  <c r="F66" i="1"/>
  <c r="F126" i="1" l="1"/>
  <c r="F143" i="1"/>
  <c r="F33" i="1" l="1"/>
  <c r="F32" i="1"/>
  <c r="F114" i="1" l="1"/>
  <c r="F13" i="1" l="1"/>
  <c r="F19" i="1"/>
  <c r="F16" i="1"/>
  <c r="F21" i="1" l="1"/>
  <c r="A1" i="1"/>
  <c r="A1" i="42" l="1"/>
  <c r="A1" i="24"/>
  <c r="A1" i="34"/>
  <c r="B204" i="1" l="1"/>
  <c r="B11" i="16" l="1"/>
  <c r="B231" i="1" l="1"/>
  <c r="A67" i="37"/>
  <c r="B176" i="1"/>
  <c r="B158" i="1"/>
  <c r="A24" i="1"/>
  <c r="B5" i="16"/>
  <c r="B262" i="1" l="1"/>
  <c r="A249" i="1"/>
  <c r="A252" i="1" s="1"/>
  <c r="B292" i="1"/>
  <c r="A236" i="1"/>
  <c r="A240" i="1" s="1"/>
  <c r="A28" i="1"/>
  <c r="A36" i="1" s="1"/>
  <c r="A41" i="1" s="1"/>
  <c r="B126" i="1"/>
  <c r="B143" i="1"/>
  <c r="B244" i="1"/>
  <c r="B114" i="1"/>
  <c r="A16" i="37"/>
  <c r="A70" i="37"/>
  <c r="A7" i="37"/>
  <c r="A35" i="37"/>
  <c r="A79" i="37"/>
  <c r="A13" i="37"/>
  <c r="A38" i="37"/>
  <c r="A88" i="37"/>
  <c r="A111" i="37"/>
  <c r="B166" i="34"/>
  <c r="B168" i="34"/>
  <c r="B427" i="1"/>
  <c r="F427" i="1"/>
  <c r="A2" i="1"/>
  <c r="A49" i="1" l="1"/>
  <c r="A259" i="1"/>
  <c r="A2" i="24"/>
  <c r="A2" i="42"/>
  <c r="B48" i="34"/>
  <c r="B61" i="34"/>
  <c r="A166" i="34"/>
  <c r="A168" i="34"/>
  <c r="A427" i="1"/>
  <c r="B15" i="16"/>
  <c r="A131" i="1" l="1"/>
  <c r="A135" i="1" l="1"/>
  <c r="A139" i="1" s="1"/>
  <c r="A13" i="16" l="1"/>
  <c r="B13" i="16"/>
  <c r="A119" i="1" l="1"/>
  <c r="A123" i="1" s="1"/>
  <c r="A14" i="24"/>
  <c r="A9" i="1"/>
  <c r="B21" i="1" l="1"/>
  <c r="A4" i="37"/>
  <c r="B164" i="34"/>
  <c r="B162" i="34"/>
  <c r="A9" i="34"/>
  <c r="A2" i="34"/>
  <c r="A11" i="34" l="1"/>
  <c r="A13" i="34" s="1"/>
  <c r="A15" i="34" s="1"/>
  <c r="A164" i="34"/>
  <c r="B19" i="34"/>
  <c r="F14" i="24"/>
  <c r="A17" i="34" l="1"/>
  <c r="A11" i="1"/>
  <c r="B423" i="1"/>
  <c r="A423" i="1"/>
  <c r="A15" i="1" l="1"/>
  <c r="A18" i="1" s="1"/>
  <c r="F423" i="1"/>
  <c r="B3" i="16" l="1"/>
  <c r="B7" i="16"/>
  <c r="A7" i="16"/>
  <c r="A10" i="24"/>
  <c r="F421" i="1"/>
  <c r="F419" i="1"/>
  <c r="F413" i="1"/>
  <c r="F411" i="1"/>
  <c r="F409" i="1"/>
  <c r="F407" i="1"/>
  <c r="B425" i="1"/>
  <c r="A425" i="1"/>
  <c r="B411" i="1"/>
  <c r="B413" i="1"/>
  <c r="B415" i="1"/>
  <c r="B417" i="1"/>
  <c r="B419" i="1"/>
  <c r="B421" i="1"/>
  <c r="A421" i="1"/>
  <c r="A419" i="1"/>
  <c r="A417" i="1"/>
  <c r="A415" i="1"/>
  <c r="A413" i="1"/>
  <c r="A411" i="1"/>
  <c r="A409" i="1"/>
  <c r="A407" i="1"/>
  <c r="F425" i="1" l="1"/>
  <c r="F417" i="1" l="1"/>
  <c r="F415" i="1" l="1"/>
  <c r="F433" i="1" l="1"/>
  <c r="F10" i="24" l="1"/>
  <c r="F19" i="24" l="1"/>
  <c r="F17" i="24"/>
  <c r="F21" i="24" l="1"/>
  <c r="A55" i="1" l="1"/>
  <c r="A60" i="1" l="1"/>
  <c r="A64" i="1" l="1"/>
  <c r="A68" i="1" s="1"/>
  <c r="A73" i="1" l="1"/>
  <c r="A189" i="1"/>
  <c r="A193" i="1" s="1"/>
  <c r="A201" i="1" s="1"/>
  <c r="A280" i="1"/>
  <c r="A76" i="1" l="1"/>
  <c r="A80" i="1" s="1"/>
  <c r="A84" i="1" s="1"/>
  <c r="A284" i="1"/>
  <c r="A289" i="1" s="1"/>
  <c r="A89" i="1" l="1"/>
  <c r="A93" i="1" s="1"/>
  <c r="A100" i="1" s="1"/>
  <c r="A103" i="1" s="1"/>
  <c r="A108" i="1" s="1"/>
  <c r="A111" i="1" s="1"/>
</calcChain>
</file>

<file path=xl/sharedStrings.xml><?xml version="1.0" encoding="utf-8"?>
<sst xmlns="http://schemas.openxmlformats.org/spreadsheetml/2006/main" count="816" uniqueCount="608">
  <si>
    <t>BETONSKI I ARMIRANOBETONSKI RADOVI</t>
  </si>
  <si>
    <t>Br.st.</t>
  </si>
  <si>
    <t>Jed. mjere</t>
  </si>
  <si>
    <t>Količina</t>
  </si>
  <si>
    <t xml:space="preserve">Jedinična cijena </t>
  </si>
  <si>
    <t xml:space="preserve">SADRŽAJ STAVKE </t>
  </si>
  <si>
    <t>TROŠKOVNIK RADOVA</t>
  </si>
  <si>
    <t>IZOLATERSKI RADOVI</t>
  </si>
  <si>
    <t>A.</t>
  </si>
  <si>
    <t>UKUPNO</t>
  </si>
  <si>
    <t xml:space="preserve"> </t>
  </si>
  <si>
    <t>Neizostavni i nedjeljivi dio ovog projekta čine nacrti,sheme pozicija i opisi troškovničkih stavaka.</t>
  </si>
  <si>
    <t>- V: ventus mehanizam</t>
  </si>
  <si>
    <t>- F: fiksno ostakljeno krilo</t>
  </si>
  <si>
    <t>Jedinična cijena stolarskih radova sadrži:</t>
  </si>
  <si>
    <t>U cijenu stavke uključen je sav potreban materijal i rad, okov, ostakljenje i ličenje.</t>
  </si>
  <si>
    <t>GIPS-KARTONSKI RADOVI</t>
  </si>
  <si>
    <t>SADRŽAJ:</t>
  </si>
  <si>
    <t>-</t>
  </si>
  <si>
    <t>- O: otklopno krilo</t>
  </si>
  <si>
    <t>- Z: zaokretno krilo</t>
  </si>
  <si>
    <t>RAZNI RADOVI</t>
  </si>
  <si>
    <r>
      <t xml:space="preserve">Okov:  </t>
    </r>
    <r>
      <rPr>
        <sz val="12"/>
        <rFont val="Calibri"/>
        <family val="2"/>
        <charset val="238"/>
      </rPr>
      <t>Koristiti kvalitetan okov renomiranih proizvođača.</t>
    </r>
    <r>
      <rPr>
        <sz val="11"/>
        <rFont val="Arial"/>
        <family val="2"/>
        <charset val="238"/>
      </rPr>
      <t/>
    </r>
  </si>
  <si>
    <t xml:space="preserve">INVESTITOR: </t>
  </si>
  <si>
    <t xml:space="preserve">GRAĐEVINA: </t>
  </si>
  <si>
    <t>OPĆI OPIS UZ TROŠKOVNIK</t>
  </si>
  <si>
    <t>Ukoliko su u troškovniku propisani sistemi materijala za izvođenje pojedinih radova ( npr. hidroizolacije) treba ih izvesti prema uputama proizvođača, i to osposobljeni izvođači za pojedine vrste radova i specifične materijale.</t>
  </si>
  <si>
    <t>Sve radove izvesti od materijala propisane kvalitete prema nacrtima, opisu, detaljima, pismenim nalozima, ali sve u okviru ponuđene jedinične cijene. Sve štete učinjene prigodom rada na vlastitim ili tuđim radovima i materijalima uklonit će se na račun počinitelja. Svi nekvalitetni radovi i materijali otklonit će se i zamijeniti ispravnima bez bilo kakve obveze za odštetu od strane investitora.</t>
  </si>
  <si>
    <t xml:space="preserve">Jedinična cijena sadrži sve nabrojeno kod opisa pojedine grupe radova te se na taj način vrši i obračun istih. </t>
  </si>
  <si>
    <t>Sve mjere i kote iz projekta provjeriti u naravi.</t>
  </si>
  <si>
    <t>Izvođač radova dužan je prije početka radova kontrolirati kote postojećeg terena i objekta. Ukoliko se ukažu eventualne nejednakosti između projekta i stanja na gradilištu, izvođač radova dužan je blagovremeno o tome obavijestiti investitora i projektanta i zatražiti pojedina objašnjenja.</t>
  </si>
  <si>
    <t>Sva kontrola vrši se bez posebne naplate. Jediničnom cijenom treba obuhvatiti sve elemente navedene kako slijedi:</t>
  </si>
  <si>
    <t>a) Materijal</t>
  </si>
  <si>
    <t>Pod materijalom podrazumijevaju se svi materijali koji sudjeluju u radnom procesu: kako osnovni materijali, tako i materijali koji ne spadaju u finalni produkt već su samo kao pomoćni.</t>
  </si>
  <si>
    <t>U cijenu je također uključeno i davanje potrebnih uzoraka kod nekih materijala (prema zahtjevu investitora), te svi potrebni certifikati (atesti). Uzorke dostaviti projektantu na uvid i pismeni odabir najmanje 30 dana prije ugradbe.</t>
  </si>
  <si>
    <t>b) Rad</t>
  </si>
  <si>
    <t>U kalkulaciju treba uključiti sav rad, kako glavni, tako i pomoćni, te sav unutrašnji transport (kako horizontalni tako i vertikalni).</t>
  </si>
  <si>
    <t>Ujedno treba uključiti i rad oko zaštite gotovih konstrukcija i dijelova objekta od štetnog atmosferskog utjecaja vrućine, hladnoće i sličnog.</t>
  </si>
  <si>
    <t>c) Izmjere</t>
  </si>
  <si>
    <t>Građevinska knjiga, za sve izvedene radove, treba prilikom izrade situacija biti priložena.</t>
  </si>
  <si>
    <t xml:space="preserve">Građevinska knjiga sadrži sve nacrte, skice i dokaznice za izvedene radove, koji su ujedno i prilog situaciji. </t>
  </si>
  <si>
    <t>d) Zimski i ljetni rad</t>
  </si>
  <si>
    <t>Zimski ili ljetni rad nije osnova za potraživanje dodatne naknade.</t>
  </si>
  <si>
    <t>Za vrijeme zimskih, odnosno ljetnih razdoblja izvođač mora poduzeti sve propisane mjere zaštite izvedenih radova od visokih ili niskih temperatura.</t>
  </si>
  <si>
    <t>U slučaju eventualno nastalih šteta (smrzavanja dijelova) izvođač ih ima otkloniti bez bilo kakve naplate. Ukoliko je temperatura niža od temperature pri kojoj je dozvoljen dotični rad, izvođač snosi punu odgovornost za ispravnost i kvalitetu izvedenog posla.</t>
  </si>
  <si>
    <t>Analogno vrijedi i za zaštitu radova tijekom ljeta od prebrzog sušenja uslijed visoke temperature.</t>
  </si>
  <si>
    <t>e) Cijene</t>
  </si>
  <si>
    <t>U jediničnu cijenu rada izvođač treba obuhvatiti i slijedeće radove, koji se neće zasebno platiti kao naknadni rad, i to:</t>
  </si>
  <si>
    <t>- čišćenje ugrađenih elemenata od žbuke i sl.;</t>
  </si>
  <si>
    <t>- sva ispitivanja materijala i ishođenje atesta (certifikata);</t>
  </si>
  <si>
    <t>- čuvanje radilišta i gradilišta;</t>
  </si>
  <si>
    <t>Posebne naplate po navedenim radovima neće se posebno priznati, jer sve gore navedeno mora  biti uključeno u jediničnu cijenu.</t>
  </si>
  <si>
    <t>Prema ovom uvodu, opisu stavaka i grupi radova treba sastaviti jediničnu cijenu za svaku stavku troškovnika.</t>
  </si>
  <si>
    <t>f) Skele</t>
  </si>
  <si>
    <t>Sve vrste radnih skela, bez obzira na visinu, ulaze u jediničnu cijenu dotičnog rada (osim za fasaderske radove, gdje je posebno specificirana).</t>
  </si>
  <si>
    <t>g) Ponude</t>
  </si>
  <si>
    <t>Pod dobavom se podrazumijeva sav glavni (osnovni) materijal, sa svim transportima (fco gradilište, bez obzira na prijevozno sredstvo, svi utovari i istovari) i zavisnim troškovima.</t>
  </si>
  <si>
    <t>Pod ugradbom se podrazumijeva sav rad potreban za ugradbu, sa svim pomoćnim i veznim materijalima (ljepila, mortovi, vijci, kitovi i sl.), sav unutrašnji transport, te ostalo navedeno pod odrednicom.</t>
  </si>
  <si>
    <t>h) Ostalo</t>
  </si>
  <si>
    <t>U jedinične cijene stavki imaju biti uračunati svi radovi i potrebni materijali (eventualno ne specificirani posebno u samom troškovniku), a koji su (prema uzancama struke i pravilima dobrog zanata) potrebni za potpuno dovršenje građevine, tj. dovođenje u stanje "potpuno spremno za uporabu".</t>
  </si>
  <si>
    <t>Svi takvi radovi imaju biti uračunati u jedinične cijene, tj. neće se posebno plaćati.</t>
  </si>
  <si>
    <t>Obveza je izvođača provjeriti količine potrebnih materijala (prema projektu; nacrtima, detaljima, izmjeri i stanju na gradilištu i sl.), te naručiti i dobaviti potreban materijal prema vlastitom izračunu, izmjeri, procjeni i stvarnom stanju na gradilištu (ne prema količinama iz ovog troškovnika).</t>
  </si>
  <si>
    <t>Ovaj "Opći opis uz troškovnik" i svi "Opći uvjeti" (obračunsko-tehnički uvjeti i specifikacije) uz pojedine radove sastavni su dio troškovnika.</t>
  </si>
  <si>
    <t/>
  </si>
  <si>
    <r>
      <rPr>
        <b/>
        <u/>
        <sz val="12"/>
        <rFont val="Calibri"/>
        <family val="2"/>
        <charset val="238"/>
      </rPr>
      <t>NAPOMENA:</t>
    </r>
    <r>
      <rPr>
        <b/>
        <sz val="12"/>
        <rFont val="Calibri"/>
        <family val="2"/>
        <charset val="238"/>
      </rPr>
      <t xml:space="preserve"> U ovom troškovniku sve nacionalne norme jednakovrijedne su europskim normama, tj. jedne ne isključuju druge.</t>
    </r>
  </si>
  <si>
    <t>Oznake koje se koriste u ovom projektu, shemama pozicija su:</t>
  </si>
  <si>
    <t>- S: fiksno ostakljeno krilo sa sigurnosnim staklom</t>
  </si>
  <si>
    <t>- OZ: otklopno-zaokretno krilo</t>
  </si>
  <si>
    <t>SOBOSLIKARSKI I LIČILAČKI RADOVI</t>
  </si>
  <si>
    <t xml:space="preserve"> ZIDARSKI RADOVI</t>
  </si>
  <si>
    <t>KERAMIČARSKI RADOVI</t>
  </si>
  <si>
    <t>sva potrebna čišćenja, kod svih građevinskih i obrtničkih radova, u tijeku izvođenja, dnevno (nakon završetka rada) uključiti u jedinične cijene stavki, tj. neće se posebno plaćati.</t>
  </si>
  <si>
    <t>B.</t>
  </si>
  <si>
    <t>RADOVI DEMONTAŽE</t>
  </si>
  <si>
    <t>PRIPREMNI I ZAVRŠNI RADOVI</t>
  </si>
  <si>
    <t>Izvode se kao:</t>
  </si>
  <si>
    <t>- sve troškove nabave i dopreme svog potrebnog materijala odgovarajuće kvalitete</t>
  </si>
  <si>
    <t>- sav rad u radionici sa dostavom</t>
  </si>
  <si>
    <t xml:space="preserve">- montažu </t>
  </si>
  <si>
    <t>- sve horizontalne i vertikalne transporte do mjesta ugradbe</t>
  </si>
  <si>
    <t>- ostakljenje vrstom stakla naznačenom na pojedinoj stavci</t>
  </si>
  <si>
    <t>- sva priručna pomagala prema propisima HTZ mjera</t>
  </si>
  <si>
    <t xml:space="preserve">Prije ugradnje elemenata izvođač radova treba od nadzornog inženjera pribaviti potvrdu da je bravarija izvedena prema shemama, specifikaciji i detaljima u projektu. Nakon toga nadzorni inženjer treba odobriti ugradnju bravarije. </t>
  </si>
  <si>
    <t xml:space="preserve">HRN B.D1.300-306 - zidne keramičke pločice ili jednakovrijedno, </t>
  </si>
  <si>
    <t xml:space="preserve">HRN B.D1.100-101 - podne keramičke pločice ili jednakovrijedno, </t>
  </si>
  <si>
    <t xml:space="preserve">HRN U.F2.011-tehnički uvjeti za izvođenje keramičarskih radova ili jednakovrijedno, </t>
  </si>
  <si>
    <t>HRN U.F2.024-80. Završni radovi u građevinarstvu ili jednakovrijedno,</t>
  </si>
  <si>
    <t>Potrebno se pridržavati slijedećih normi i propisa:</t>
  </si>
  <si>
    <t>Pravilnik o tehničkim normativima za izvođenje završnih radova u građevinarstvu (Sl.list 21/90).</t>
  </si>
  <si>
    <t>SVEUKUPNA REKAPITULACIJA</t>
  </si>
  <si>
    <t>ELEKTROINSTALACIJE</t>
  </si>
  <si>
    <t>TROŠKOVNIK ELEKTROINSTALACIJA</t>
  </si>
  <si>
    <r>
      <rPr>
        <b/>
        <sz val="12"/>
        <rFont val="Calibri"/>
        <family val="2"/>
        <charset val="238"/>
      </rPr>
      <t xml:space="preserve">Proizvodne i radioničke sheme i detalje </t>
    </r>
    <r>
      <rPr>
        <sz val="12"/>
        <rFont val="Calibri"/>
        <family val="2"/>
        <charset val="238"/>
      </rPr>
      <t xml:space="preserve">dužan je razraditi izvođač temeljem provjere podloge na objektu, opisa stavaka, shema i općih detalja sadržanih u ovom projektu te ih pravovremeno dostaviti projektantu i nadzornom inženjeru na ovjeru. </t>
    </r>
  </si>
  <si>
    <r>
      <t xml:space="preserve">Sadržaj cijene: </t>
    </r>
    <r>
      <rPr>
        <sz val="12"/>
        <rFont val="Calibri"/>
        <family val="2"/>
        <charset val="238"/>
      </rPr>
      <t>Sve jedinične cijene sadrže kompletnu radioničku izradu, dopremu na gradilište, raznašanje po pozicijama te ugradnju u skladu s općim uvjetima troškovnika</t>
    </r>
  </si>
  <si>
    <t xml:space="preserve">U jedinične cijene stavki obavezno uključiti sve nabave, transporte i ugradnje materijala, sav potreban rad, pomoćne i prethodne radnje, kao što je gletanje; osnovni i pomoćni materijal, pomoćnu skelu (rad na visini) i sl. </t>
  </si>
  <si>
    <t>Bravarski radovi moraju se izvesti solidno i stručno prema važećim propisima i pravilima dobrog zanata. Izvođač bravarskih radova treba prije izvedbe bravarije izvršiti točnu izmjeru otvora. Izvođač bravarskih radova dužan je prije početka rada izraditi radioničke nacrte za sve tipove bravarskih stavki, te zatražiti od nadzornog inženjera odobrenje za iste.</t>
  </si>
  <si>
    <t>Na svim mjestima rada većih od 1,0 m od poda s kojih se može pasti, potrebno je izvesti čvrstu zaštitnu ogradu minimalne visine 1,0 m.</t>
  </si>
  <si>
    <t>Vrsta morta propisana je troškovničkim opisom. Upotrijebljeni dodaci koji služe za poboljšavanje ugradljivosti morta, za postizanje nepromočivosti ili poboljšanje kemijskih i mehaničkih svojstava, moraju odgovarati utvrđenim standardima i dokumentiranim odgovarajućim atestima. Mort mora odgovarati standardima:</t>
  </si>
  <si>
    <t>- Mort za ziđe: HRN EN 998-2 ili jednakovrijedno.</t>
  </si>
  <si>
    <t>Sav upotrijebljeni materijal i finalni građevinski proizvodi moraju odgovarati važećim tehničkim propisima i normama.</t>
  </si>
  <si>
    <t>- vatrootporne (GKF)</t>
  </si>
  <si>
    <t>- vlagootporne (GKI) za vlažne prostore</t>
  </si>
  <si>
    <t>- standardne (GK) za suhe prostore</t>
  </si>
  <si>
    <t>OPĆI UVJETI GRAĐEVINSKO - OBRTNIČKIH RADOVA</t>
  </si>
  <si>
    <t xml:space="preserve">TROŠKOVNIK GRAĐEVINSKO - OBRTNIČKIH RADOVA </t>
  </si>
  <si>
    <t>GRAĐEVINSKO - OBRTNIČKI RADOVI</t>
  </si>
  <si>
    <t>m'</t>
  </si>
  <si>
    <t>kom.</t>
  </si>
  <si>
    <r>
      <t>m</t>
    </r>
    <r>
      <rPr>
        <vertAlign val="superscript"/>
        <sz val="12"/>
        <rFont val="Calibri"/>
        <family val="2"/>
        <charset val="238"/>
      </rPr>
      <t>2</t>
    </r>
  </si>
  <si>
    <t>ČIŠĆENJE GRADILIŠTA TIJEKOM RADOVA</t>
  </si>
  <si>
    <t xml:space="preserve">Čišćenje gradilišta tijekom radova. </t>
  </si>
  <si>
    <t>kompl.</t>
  </si>
  <si>
    <t>ZAVRŠNO ČIŠĆENJE GRADILIŠTA</t>
  </si>
  <si>
    <t>Čišćenje gradilišta nakon dovršenja radova. U stavku uključeno čišćenje i pranje svih elemenata (prozori, klupčice, podovi) u zoni radova.</t>
  </si>
  <si>
    <t>ZAŠTITA VANJSKIH OTVORA</t>
  </si>
  <si>
    <t>m²</t>
  </si>
  <si>
    <t>a)</t>
  </si>
  <si>
    <t>b)</t>
  </si>
  <si>
    <t>m³</t>
  </si>
  <si>
    <t>OBIJANJE KERAM. PLOČICA I ŽBUKE SA ZIDOVA</t>
  </si>
  <si>
    <t>- zidovi</t>
  </si>
  <si>
    <t>- sokl</t>
  </si>
  <si>
    <t>- pod</t>
  </si>
  <si>
    <r>
      <t>m</t>
    </r>
    <r>
      <rPr>
        <vertAlign val="superscript"/>
        <sz val="12"/>
        <rFont val="Calibri"/>
        <family val="2"/>
        <charset val="238"/>
      </rPr>
      <t>3</t>
    </r>
  </si>
  <si>
    <t>RAZBIJANJE I UKLANJANJE SLOJEVA PODA</t>
  </si>
  <si>
    <t>- keramičke pločice</t>
  </si>
  <si>
    <t>- cemetni estrih, prosječne debljine 7 cm</t>
  </si>
  <si>
    <t>MONTAŽNI NADVOJI</t>
  </si>
  <si>
    <t>MANJA BETONIRANJA</t>
  </si>
  <si>
    <t>Obračun po m² gotove površine.</t>
  </si>
  <si>
    <t>CEMENTNI ESTRIH</t>
  </si>
  <si>
    <t>ZIDARSKA OBRADA ŠLICEVA</t>
  </si>
  <si>
    <t>Obračun po m'.</t>
  </si>
  <si>
    <t>Obračun po m² izvedene izolacije.</t>
  </si>
  <si>
    <t>HIDROIZOLACIJA  SAN.ČVORA</t>
  </si>
  <si>
    <t>Dobava materijala i izvedba  horizontalne i vertikalne hidroizolacije na bazi polimercementnog premaza. Izvodi se u dva premaza prema uputama proizvođača.  Na spoju zida i poda obvezno ugraditi brtvenu gumu.</t>
  </si>
  <si>
    <t>- zidovi u prostoru za tuširanje do visine 200 cm</t>
  </si>
  <si>
    <t>- pod s podizanjem 10 cm po obodu zidova</t>
  </si>
  <si>
    <t>Obračun po m² izvedene površine.</t>
  </si>
  <si>
    <t>LIČENJE ZIDOVA - uljana boja (postojeći zid)</t>
  </si>
  <si>
    <t>- Za vanjsku i unutarnju žbuku: HRN EN 998-1 ili jednakovrijedno.</t>
  </si>
  <si>
    <t>Sve radove na demontaži i rušenju potrebno je organizirati na siguran način i u dogovoru s korisnikom prostora. Sav upotrebljiv materijal odložiti na mjesto koje odredi Investitor. Svim demontažama, obijanjima žbuke i probijanjima treba pristupiti pažljivo i to u pravilu s ručnim alatima. Nakon provedenih pripremnih radova, rušenja na građevini vrši se prema unaprijed utvrđenom redoslijedu dogovorenom s nadzornim inženjerom.</t>
  </si>
  <si>
    <t xml:space="preserve">Obračun otpadnog materijala priznaje se u sraslom stanju. </t>
  </si>
  <si>
    <t>Ako izvođač kod izvedbe ovih  radova naiđe na nepredviđene radove treba odmah o tome  obavijestiti nadzornog inženjera.</t>
  </si>
  <si>
    <t>Proizvode se u dimenzijama 122 x 244 do 366 cm, te se postavom na metalnu pocinčanu konstrukciju i adekvatnom obradom spojeva (posebnim kitovima i ljepilima) formiraju u kompaktne pune glatke plohe.</t>
  </si>
  <si>
    <t>ODVOZ ŠUTE</t>
  </si>
  <si>
    <t>Stavka obuhvaća prikupljanje otpadnog građevinskog i ostalog materijala, utovar i odvoz na trajnu deponiju uz plaćanje svih pristojbi.</t>
  </si>
  <si>
    <t>Obračun po m³ odvezene šute.</t>
  </si>
  <si>
    <t>REŽIJSKI SATI</t>
  </si>
  <si>
    <t>Radovi koji se izvode po nalogu nadzornog inženjera i evidentiraju se u građevni dnevnik.</t>
  </si>
  <si>
    <t>- režijski sati, NK radnik</t>
  </si>
  <si>
    <t>sat</t>
  </si>
  <si>
    <t>- režijski sati, KV radnik</t>
  </si>
  <si>
    <t>MONTAŽA DEMONTIRANE INSTALACIJA I OPREME</t>
  </si>
  <si>
    <t>NACRTI IZVEDENOG STANJA</t>
  </si>
  <si>
    <t xml:space="preserve">KERAMIKA NA ZIDOVIMA </t>
  </si>
  <si>
    <t>- zid</t>
  </si>
  <si>
    <t xml:space="preserve">KERAMIKA NA PODOVIMA </t>
  </si>
  <si>
    <t>PREGRADNI ZID</t>
  </si>
  <si>
    <t>Dobava materijala i izvedba pregradnoga zida od gipskartonskih ploča.</t>
  </si>
  <si>
    <t>Zid se sastoji od slijedećih slojeva:</t>
  </si>
  <si>
    <t>- dvostruka gipskartonska ploča 2x1,25 cm,</t>
  </si>
  <si>
    <t>- metalna potkonstrukcija iz odgovarajućih tipskih čeličnih pocinčanih profila CW (debljina lima 0,6 mm) u dva reda međusobno odvojena elastičnim podlošcima, ispunjena mineralnom vunom klase negorivosti A1 prema HRN EN 13501-1 ili jednakovrijedno.</t>
  </si>
  <si>
    <t>Stavkom su obuhvaćeni svi potrebni radovi (kvalitetna obrada reški i sl.).</t>
  </si>
  <si>
    <t>Sva potrebna izrezivanja uključiti u jediničnu cijenu.</t>
  </si>
  <si>
    <t>Završno bojanje u ličilačkim radovima</t>
  </si>
  <si>
    <t>SPUŠTENI STROP</t>
  </si>
  <si>
    <t>Pri izvođenju betonske konstrukcije izvođač je dužan pridržavati se tehničkih uputa za ugradnju i uporabu građevnih proizvoda i odredbi propisanih Tehničkim propisom za građevinske konstrukcije (NN 17/17, 75/20, 7/22). Tehnička svojstva i drugi zahtjevi te potvrđivanje sukladnosti projektiranog betona određuju se odnosno provode prema normi HRN EN 206 ili jednakovrijedno, te normama na koje ta norma upućuje ili jednakovrijedno.</t>
  </si>
  <si>
    <t>UKUPNO (€):</t>
  </si>
  <si>
    <t>PDV 25% (€):</t>
  </si>
  <si>
    <t>SVEUKUPNO S PDV-om (€):</t>
  </si>
  <si>
    <t>RADOVI DEMONTAŽE, RAZGRADNJE I UKLANJANJA</t>
  </si>
  <si>
    <t>DEMONTAŽA I ODVOZ UNUTARNJE BRAVARIJE</t>
  </si>
  <si>
    <t>DEMONTAŽA I ODVOZ UNUTARNJE STOLARIJE</t>
  </si>
  <si>
    <t>C.</t>
  </si>
  <si>
    <t>RADOVI DEMONTAŽE i RUŠENJA</t>
  </si>
  <si>
    <t>TROŠKOVNIK VODOVODA I ODVODNJE</t>
  </si>
  <si>
    <t>VODOVOD I ODVODNJA</t>
  </si>
  <si>
    <t>RADOVI ODVODNJE</t>
  </si>
  <si>
    <t>VODOVODNA INSTALACIJA</t>
  </si>
  <si>
    <t>SANITARNA OPREMA</t>
  </si>
  <si>
    <t xml:space="preserve">- organizaciju prostorija i uvjeta zaštite na radu, zaštite od požara, te komfora i higijene zaposlenih; </t>
  </si>
  <si>
    <t>- kompletnu režiju gradilišta uključujući dizalice, mostove, mehanizaciju i sl.;</t>
  </si>
  <si>
    <t>Uklanjanje zidova i stropova od gips-kartonskih ploča, uključivo metalnu potkonstrukciju i ispunu. U stavci je uključena pokretna skela.</t>
  </si>
  <si>
    <t>U cijenu je uključena i cijena transportnih troškova bez obzira na prijevozno sredstvo, sa svim prijenosima, utovarima i istovarima, te podizanjima na mjesto ugradbe, kao i uskladištenje i čuvanje na gradilištu od uništenja (prebacivanje, zaštita i sl.).</t>
  </si>
  <si>
    <t xml:space="preserve">Jedinične cijene primjenjivat će se na izvedene količine bez obzira u kojem postotku iste odstupaju od količine u troškovniku. Izvedeni radovi moraju u cijelosti odgovarati opisu u troškovniku, a u tu svrhu investitor može tražiti prije početka radova uzorke te izvedeni radovi moraju istima u cijelosti odgovarati.  </t>
  </si>
  <si>
    <t>Izvođač radova mora se gornjih navoda strogo pridržavati kako bi se postigla zahtijevana kvaliteta izvođenja radova. Ukoliko izvođač radova ipak dopremi na građevinu materijal bez odgovarajućeg certifikata o kvaliteti materijala, dužan je prije ugradbe dopremljenog materijala o svom trošku dobaviti propisana uvjerenja o kvaliteti. Ukoliko spomenutim standardima ili tehničkim propisima nisu utvrđeni boja, veličina, sastav, zrnatost, čvrstoća, specifična težina, toplinska, zvučna i difuzna vidljivost ili druge fizikalne ili kemijske karakteristike materijala, izvođač radova je obvezan po nalogu projektanta ili nadzornog inženjera, kao i po nalogu investitora ugraditi materijal odgovarajućih osobina uobičajenih za odnosni materijal.</t>
  </si>
  <si>
    <r>
      <t>Brtve:</t>
    </r>
    <r>
      <rPr>
        <sz val="12"/>
        <rFont val="Calibri"/>
        <family val="2"/>
        <charset val="238"/>
      </rPr>
      <t xml:space="preserve"> Sve brtve ugrađene u profile i za ustakljenje moraju biti originalne proizvodnje za pripadajući profil, bez nastavljanja, a u uglovima postavljeni originalni uglovni prelazni komadi. Sa strana špaleta krajevi su uzdignuti uza zid i postavljeni ispod sloja žbuke ( montaža klupčice prije izvedbe špaleta). Obavezno kitanje trajnoelastičnim kitom spoja klupčica-doprozornik i klupčica-zid. </t>
    </r>
    <r>
      <rPr>
        <b/>
        <sz val="11"/>
        <rFont val="Arial"/>
        <family val="2"/>
        <charset val="238"/>
      </rPr>
      <t/>
    </r>
  </si>
  <si>
    <r>
      <t xml:space="preserve">Ugradnja: </t>
    </r>
    <r>
      <rPr>
        <sz val="12"/>
        <rFont val="Calibri"/>
        <family val="2"/>
        <charset val="238"/>
      </rPr>
      <t xml:space="preserve">Na spoju s vanjskim zidom koristiti s unutrašnje i vanjske strane vodonepropusne i paropropusne tipske brtve, prema smjernicama RAL montaže. </t>
    </r>
  </si>
  <si>
    <t>U cijenu gips-kartonskih radova uključeno je fugiranje, bandažiranje spojeva te gletanje površine do pripreme za ličenje. GKP su po završetku radova potpuno spremne za ličenje. Vezu sa žbukom potrebno je obraditi posebnim elastičnim kitovima da se spriječi pucanje. Obračun prema površini izvedne plohe.</t>
  </si>
  <si>
    <t>Sva bravarija mora biti zaštićena zaštitnim premazima debljine sloja prema Pravilniku o tehničkim mjerama i uvjetima za zaštitu čeličnih konstrukcija od korozije (Sl. 32/70). Svi profili i limovi od kojih se izrađuje bravarija moraju biti prvoklasno obrađeni, a boja jednolična. Cjelokupna bravarija predaje se u stanju potpune gotovosti za pravilno funkcioniranje prema namjeni.</t>
  </si>
  <si>
    <t>Gips-kartonski radovi obuhvaćaju izradu laganih montažnih stropova i izradu pregradnih stijena od građevinskih ploča kojima je glavna komponenta gips. Ploče od gipsa proizvode se kao glatke ili perforirane u debljinama 1,25 do 4 cm i postavljaju se na metalnu podkonstrukciju. Gips kartonske ploče sastoje se od gipsa debljine 9, 12,5 i 15 mm, obostrano zaštićenog/armiranog kartonom.</t>
  </si>
  <si>
    <t>- ogradu gradilišta i zaštitnu skelu iznad ulaza;</t>
  </si>
  <si>
    <t>- osiguranje radova kod osiguravajućeg društva.</t>
  </si>
  <si>
    <t xml:space="preserve">- uskladištenje materijala i elemenata za obrtničke i instalaterske radove do njihove ugradbe; </t>
  </si>
  <si>
    <t>- najamne troškove za posuđenu mehanizaciju, koju izvođač sam ne posjeduje, a potrebna je pri izvođenju radova;</t>
  </si>
  <si>
    <t>PODOPOLAGAČKI RADOVI</t>
  </si>
  <si>
    <t>Ravnost površine izvedenog estriha mora ispunjavati zahtjeve koji se postavljaju za podne obloge. Definirana je odstupanjem ravne letve od zaglađene površine, ako je položimo na estrih u bilo kojem smjeru</t>
  </si>
  <si>
    <t>Dopuštena odstupanja u ravnosti ovise o međusobnim udaljenostima mjernih točaka, to jest od mjesta gdje se polaže letva na površinu estriha. Tolerancije su prikazane u sljedećoj tablici:</t>
  </si>
  <si>
    <t>Sve podopolagačke radove treba izvesti u skladu s postojećim standardima.</t>
  </si>
  <si>
    <t>Sav materijal koji nije obuhvaćen standardima, mora imati ateste od za to ovlaštenih ustanova. Upotrebljavati se mora točno prema uputama proizvođača, a pri tom paziti da pomoćni materijal ne djeluje štetno na podove, tj. podlogu.</t>
  </si>
  <si>
    <t>Podovi se polažu na potpuno ravne, čiste i suhe podloge. Ukoliko je podloga neispravna izvođač treba zatražiti popravak, jer se popravak poda radi neispravne podloge zaračunava na teret izvođača ovih radova.</t>
  </si>
  <si>
    <t xml:space="preserve">Polaganje elastičnih podnih obloga potrebno je izvesti prema Pravilniku o zaštiti na radu u graditeljstvu, Pravilniku o tehničkim mjerama i uvjetima za završne radove u graditeljstvu, te o Tehničkim uvjetima za izvođenje podopolagačkih radova. </t>
  </si>
  <si>
    <t>Neposredno prije polaganja podnih obloga provesti navedenim standardom predviđena ispitivanja (vlažnost podloge, ravnost, čvrstoća, postojanje pukotina...) te ih dokumentirati protokolom o primopredaji podloge. Sve nedostatke podloge otkloniti prije početka podopolagačkih radova.</t>
  </si>
  <si>
    <t>U jediničnoj cijeni iskazati sve pripadajuće troškove opisane troškovnikom uključivo korištenje svih pratećih materijala i uređaja kao i pripadajući otpad.</t>
  </si>
  <si>
    <t>Svi materijali za izravnavanje podloge moraju imati dovoljnu nosivost za opterećenja koja se predviđaju u dotičnim prostorima.</t>
  </si>
  <si>
    <t>Sva ljepila koja se koriste moraju biti disperziona, sa malom emisijom štetnih tvari u okolinu.</t>
  </si>
  <si>
    <t>Jedinična cijena treba sadržavati:</t>
  </si>
  <si>
    <t>- sav materijal, glavni i vezni,</t>
  </si>
  <si>
    <t>- sav rad osnovni i pomoćni,</t>
  </si>
  <si>
    <t>- uzimanje mjera za izvođenje i obračun,</t>
  </si>
  <si>
    <t>- pripremno-završne radnje i organizaciju gradilišta,</t>
  </si>
  <si>
    <t>- sve transporte,</t>
  </si>
  <si>
    <t>- čišćenje podloge od manjih nečistoća, te izravnanje manjih neravnina,</t>
  </si>
  <si>
    <t>- čišćenje prostora nakon izvedbe radova,</t>
  </si>
  <si>
    <t>- HTZ mjere i druge mjere prema propisima,</t>
  </si>
  <si>
    <t>- troškove atesta.</t>
  </si>
  <si>
    <t>- izrada i postava gradilišne table;</t>
  </si>
  <si>
    <t>- izrada privremenog deponija;</t>
  </si>
  <si>
    <t>-  izrada privremenih priključaka gradilišta, sve troškove utroška vode, električne energije i svih drugih energenata za potrebe gradilišta, do uspješne primopredaje investitoru;</t>
  </si>
  <si>
    <t>- uređenje gradilišta po završetku rada, s otklanjanjem i odvozom otpadaka, šute, ostataka građevinskog materijala, inventara, pomoćnih objekata i sl., s planiranjem terena na relativnu točnost od ± 3 cm;</t>
  </si>
  <si>
    <t>- čišćenje gradilišta tijekom radova i završno čišćenje građevine ili dijela građevine u kojem je vršen zahvat, nakon završetka svih radova;</t>
  </si>
  <si>
    <t>Izolaciju treba izvoditi na suhu, čistu odmaščenu podlogu. Nakon izvedbe svakog sloja izolacije radove pregledati od strane nadzornog inženjera.</t>
  </si>
  <si>
    <t>Sve radove treba izvesti prema tehničkim propisima i uputama projektanata i nadzornog inženjera. Izvođač radova treba upotrijebiti materijal koji u svemu (vrsti, boji i kvaliteti) odgovara uzorku (Izvođač je dužan donijeti Projektantu na odabir minimalno po 3 uzorka pločica za svaku različitu vrstu opločenja, a uzorci trebaju biti odabrani prema opisu stavke). Prije početka radova potrebno je konstatirati zapisnički kvalitetu podloge na kojoj se izvode keramičarski radovi. To se odnosi na opločenje zidova.</t>
  </si>
  <si>
    <t>Prilikom izvedbe stolarskih i bravarskih radova opisanih ovim troškovnikom izvođač radova mora se pridržavati svih uvjeta i opisa iz troškovnika kao i važećih propisa. Prije izrade stolarije i bravarije izvođač je dužan izvršiti pojedinačne izmjere na građevini i prema tim izmjerama izraditi novu stolariju i bravariju.</t>
  </si>
  <si>
    <t xml:space="preserve">Izrada nacrta izvedenog stanja po završetku radova. Nacrte izrađuje inženjer gradilišta, a ovjerava projektant i nadzorni inženjer. Izrađuju se nacrti izvedenog stanja svih instalacija (vodovod i odvodnja, strojarske instalacije, elektroinstalacije) na arhitektonskim podlogama izvedenog stanja. Predaje se investitoru u printanom obliku u 3 primjerka, uvezano i plastificirano i u digitalnom obliku (pdf, dwg). </t>
  </si>
  <si>
    <t>Ukoliko nije u pojedinoj stavci dan način rada, ima se izvođač u svemu pridržavati propisa HRN-a za pojedinu vrstu rada, prosječnih normativa u građevinarstvu, uputa proizvođača materijala koji se upotrebljava ili ugrađuje, te uputa nadzornoga inženjera.</t>
  </si>
  <si>
    <t>Samo potpisana građevinska knjiga, ovjerena od strane nadzornoga inženjera bit će podloga za izradu situacije.</t>
  </si>
  <si>
    <t xml:space="preserve">Podlogu pripremiti prema DIN 18365 VOB dio C ili jednakovrijedno. </t>
  </si>
  <si>
    <t>Protupožarnost podnih obloga mora biti dokumentirana važećim HRN DIN 4102.B1 atestom ili jednakovrijedno.</t>
  </si>
  <si>
    <t>U svemu prema HRN EN 14351-1 ili jednakovrijedno.</t>
  </si>
  <si>
    <t>Nacrti, detalji, program osiguranja kontrole i kvalitete i ovaj troškovnik sa općim uvjetima čine cjelinu projekta.</t>
  </si>
  <si>
    <t>Prilikom izvođenja radova posebnu pažnju posvetiti kontroli i osiguranju kvalitete izvedenih radova. Ovim programom dati su kriteriji kvalitete kako za radove tako i za ugrađene materijale.</t>
  </si>
  <si>
    <t>Svi materijali za ugradbu i postavu na građevini smiju biti dopremljeni na gradilište samo uz važeća uvjerenja (atesti ili certifikati) ovlaštene institucije za ispitivanje kvalitete materijala izdane u skladu s važećim propisima, standardima i zahtjevima iz ovog projekta, te da odgovaraju propisanim osobinama.</t>
  </si>
  <si>
    <t>Obračun po m² zaštićenog otvora.</t>
  </si>
  <si>
    <t>IZVEDBA ŠLICEVA</t>
  </si>
  <si>
    <t>- u AB stropnoj ploči</t>
  </si>
  <si>
    <t>- u zidu od opeke</t>
  </si>
  <si>
    <t>STOLARIJA I BRAVARIJA</t>
  </si>
  <si>
    <t>Jediničnom cijenom izvođač treba obuhvatiti sve potrebne radnje za demontažu, rušenje, razgradnju, odnosno obijanja sa svim prijenosima do prijevoznih sredstava, skladišta ili privremene deponije otpadnog materijala i  odvozom na reciklažno dvorište za građevni ili EE otpad s plaćanjem svih naknada zbrinjavanja.</t>
  </si>
  <si>
    <t>NIVELIRAJUĆA MASA</t>
  </si>
  <si>
    <t>Dobava i izvedba izravnavajućeg sloja masom za izravnanje prema preporuci proizvođača poda uz primjenu odgovarajućeg predpremaza na bazi kvarca. Masa se izvodi u debljini min. 3 mm na čvrstoj, očišćenoj i suhoj podlozi. Izravnavajući sloj obavezno strojno prebrusiti. U cijenu uključeno i završno brušenje i čišćenje mase. Izravnavajuća masa postavlja se na cem. estrih na koji se polaže obloga od linoleuma.</t>
  </si>
  <si>
    <t>PVC KUTNA LAJSNA</t>
  </si>
  <si>
    <t>PVC PODNA OBLOGA</t>
  </si>
  <si>
    <r>
      <t>Dobava i postava kompozitne zidne kutne letvice (sokla) od traka podne obloge visine 10 cm koje se lijepe na već postojeći spoj poda i zida na zalijepljeni PVC podložak. Podna obloga mora biti tako zalijepljena da cijelom površinom naliježe na podložak. Podložak radijusa 2,5 cm. Lijepi se cijelom površinom kontaktnim ljepilom (500-600 g/m</t>
    </r>
    <r>
      <rPr>
        <vertAlign val="superscript"/>
        <sz val="12"/>
        <rFont val="Calibri"/>
        <family val="2"/>
        <charset val="238"/>
      </rPr>
      <t>2</t>
    </r>
    <r>
      <rPr>
        <sz val="12"/>
        <rFont val="Calibri"/>
        <family val="2"/>
        <charset val="238"/>
      </rPr>
      <t xml:space="preserve">). Boja i uzorak iz standardne RAL karte proizvođača. </t>
    </r>
  </si>
  <si>
    <r>
      <t>Obračun po m</t>
    </r>
    <r>
      <rPr>
        <vertAlign val="superscript"/>
        <sz val="12"/>
        <rFont val="Calibri"/>
        <family val="2"/>
        <charset val="238"/>
      </rPr>
      <t>2</t>
    </r>
    <r>
      <rPr>
        <sz val="12"/>
        <rFont val="Calibri"/>
        <family val="2"/>
        <charset val="238"/>
      </rPr>
      <t xml:space="preserve"> izvedene površine.</t>
    </r>
  </si>
  <si>
    <t>Jediničnom cijenom izvođač treba obuhvatiti sve potrebne radnje za demontažu, rušenje, razgradnju, odnosno obijanja sa svim prijenosima do skladišta ili privremene deponije otpadnog materijala i  odvozom na reciklažno dvorište za građevni ili EE otpad s plaćanjem svih naknada zbrinjavanja,osim ako to nije drugačije naznačeno u pojedinoj stavci. Odvoz se obračunava u sraslom stanju (koeficijent rastresitosti uključiti u cijenu).</t>
  </si>
  <si>
    <t>DEMONTAŽA SANITARNE OPREME</t>
  </si>
  <si>
    <t>DEMONTAŽA VODOVODNE INSTALACIJE</t>
  </si>
  <si>
    <t>DEMONTAŽA ODVODNE INSTALACIJE</t>
  </si>
  <si>
    <t>Štemanje zida i demontaža dotrajale vodovodne instalacije u zidovima od opeke. Vodovodne cijevi DN20 - DN32.</t>
  </si>
  <si>
    <t>Otkop dotrajale podne odvodne instalacije. Podne keramičke cijevi profila od DN50 - DN160.</t>
  </si>
  <si>
    <t>ODVODNE CIJEVI</t>
  </si>
  <si>
    <t>DN110</t>
  </si>
  <si>
    <t>DN50</t>
  </si>
  <si>
    <t>ISPITIVANJE CJEVOVODA</t>
  </si>
  <si>
    <t>Ispitivanje postavljene kanalizacijske mreže na nepropusnost, pomoću vodenog stupca, te dobivanje atesta o vodonepropusnosti izvedene unutarnje instalacije Obračun po m' ispitanog cjevovoda.</t>
  </si>
  <si>
    <t>CIJEVI ZA VODOVOD - PPR</t>
  </si>
  <si>
    <t>KUTNI VENTIL</t>
  </si>
  <si>
    <t>TLAČNA PROBA</t>
  </si>
  <si>
    <t>Hladna tlačna proba na tlak od 15 bara, te kompletne instalacije na 6 bara, uz prisustvo nadzornog inženjera. Ispitivanje se vrši tlačenjem instalacije u skladu s tehničkim uputama proizvođača instalacija. Za vrijeme ispitivanja manometar ne smije pokazati pad tlaka.</t>
  </si>
  <si>
    <t>ISPITIVANJA I IZVJEŠĆE</t>
  </si>
  <si>
    <t>DN25</t>
  </si>
  <si>
    <t>DN20</t>
  </si>
  <si>
    <t>TOPLINSKA IZOLACIJA CIJEVI</t>
  </si>
  <si>
    <t>Dobava i montaža toplinske izolacije vodovodnih cijevi od vulkanizirane sintetičke gume zatvorenih ćelija.</t>
  </si>
  <si>
    <t>PODŽBUKNI VENTIL</t>
  </si>
  <si>
    <t>Dobava i montaža zapornog podžbuknog ventila s poniklanom kapom i rozetom.</t>
  </si>
  <si>
    <t>UMIVAONIK</t>
  </si>
  <si>
    <t>Dobava i ugradnja umivaonika od keramike I klase u kompletu s ogledalom (dim. 60x80 cm) i etažerom. Stavka uključuje dobavu i ugradnju vijaka i tipli za montažu na zid, silikonski kit za brtvljenje, zidnu samozatvarajuću mješalicu za toplu i hladnu vodu, kutne ventile, te odljevnu garnituru.  Obračun po ugrađenom kompletu.</t>
  </si>
  <si>
    <t>- veličina 560 x 460 mm</t>
  </si>
  <si>
    <t>PISOAR</t>
  </si>
  <si>
    <t xml:space="preserve">Dobava i ugradba zidnog pisoara od keramike I klase. Stavka uključuje dobavu i ugradnju vijaka i tipli za montažu na zid, silikonski kit za brtvljenje, nadžbukni ispirač za pisoar, kutne ventile, te odljevnu garnituru. Obračun po ugrađenom kompletu. </t>
  </si>
  <si>
    <t>SITNI PRIBOR OD INOXA</t>
  </si>
  <si>
    <t>Nabava i montaža sitnog pribora od inoxa kvalitetnije izvedbe. Obračun po ugrađenom komadu.</t>
  </si>
  <si>
    <t>- držač toaletnog papira s poklopcem</t>
  </si>
  <si>
    <t>- sapunjara za tekući sapun</t>
  </si>
  <si>
    <t>- držač papirnatih ručnika uz umivaonik</t>
  </si>
  <si>
    <t>ELEKTRIČNI BOJLERI</t>
  </si>
  <si>
    <t>REVIZIJSKA VRATAŠCA</t>
  </si>
  <si>
    <t>- unutrašnja ugradbena dimenzija 20x20 cm</t>
  </si>
  <si>
    <t>TEHNIČKA ŠKOLA ZAGREB</t>
  </si>
  <si>
    <t>PALMOTIĆEVA ULICA 84</t>
  </si>
  <si>
    <t>OIB: 90264326923</t>
  </si>
  <si>
    <t>UČENIČKI DOM</t>
  </si>
  <si>
    <t xml:space="preserve">k.č.br. 7475, MB 339164 k.o. CENTAR NOVI
</t>
  </si>
  <si>
    <t>UREĐENJE PROSTORA BIVŠEG CAFFE BARA</t>
  </si>
  <si>
    <t>Ako opis koje stavke dovodi ponuditelja u sumnju o načinu izvedbe, treba pravovremeno prije predaje ponude tražiti objašnjenje od  Investitora. Naknadni se prigovori neće uvažiti.</t>
  </si>
  <si>
    <t>Zaštita vanjskih otvora, odnosno postojeće vanjske bravarije zaštitnom folijom. U cijeni je sav rad, materijal i pomoćni materijal.</t>
  </si>
  <si>
    <t>Demontaža i odvoz raznih elemenata unutar zone radova.</t>
  </si>
  <si>
    <t>Demontaža i privremeno deponiranje radi naknadne ugradnje raznih elemenata unutar zone radova na mjesto prema odabiru investitora .</t>
  </si>
  <si>
    <t>- električni pikado aparat</t>
  </si>
  <si>
    <t>- televizor</t>
  </si>
  <si>
    <t>DEMONTAŽA I INSTALACIJA I OPREME</t>
  </si>
  <si>
    <t>DEMONTAŽA I ODVOZ INSTALACIJA I OPREME</t>
  </si>
  <si>
    <t>DEMONTAŽA OGRJEVNIH TIJELA</t>
  </si>
  <si>
    <t>Radijatori dimenzija:</t>
  </si>
  <si>
    <t>- 50/80 cm</t>
  </si>
  <si>
    <t>- 275/80 cm</t>
  </si>
  <si>
    <t>Demontaža unutarnje drvene stolarije (u zoni zahvata). NAPOMENA: Navedene su zidarske dimenzije otvora.</t>
  </si>
  <si>
    <t>Demontaža unutarnje aluminijske bravarije (u zoni zahvata). NAPOMENA: Navedene su zidarske dimenzije otvora.</t>
  </si>
  <si>
    <t>- jednokrilna vrata, dim. 70/205 cm</t>
  </si>
  <si>
    <t>- jednokrilna vrata, dim. 70/195 cm</t>
  </si>
  <si>
    <t>- jednokrilna vrata, dim. 80/200 cm</t>
  </si>
  <si>
    <t>PROBIJANJE OTVORA U ZIDU OD OPEKE</t>
  </si>
  <si>
    <t>Pažljivo zarezivanje i kombinirano strojno i ručno probijanje otvora u zidu od opeke debljine 25 cm u zoni radova. Obračun po m² uklonjenog zida. U cijenu uključiti faktor rastresitosti.</t>
  </si>
  <si>
    <t>- zid d=25cm</t>
  </si>
  <si>
    <t>UKLANJANJE ZIDOVA I STROPOVA OD GIPSKARTONSKIH PLOČA</t>
  </si>
  <si>
    <t>- jednostruka obloga, strop</t>
  </si>
  <si>
    <t>Strojno i ručno obijanje žbuke s postojećih zidova.  Prosječna debljina žbuke 3 cm. U stavci je uključena pokretna skela.</t>
  </si>
  <si>
    <t>- tapison</t>
  </si>
  <si>
    <t>Ručno i strojno uklanjanje slojeva poda.</t>
  </si>
  <si>
    <t>Slojevi poda:</t>
  </si>
  <si>
    <t xml:space="preserve">Izvedba šliceva za postavu novih elektro kablova i instalacije vodovoda i odvodnje u širini od 10-15 cm i dubini do 10 cm. Obračun po m'. </t>
  </si>
  <si>
    <r>
      <t xml:space="preserve">Strojno i ručno obijanje keramičkih pločica i žbuke sa zidova.  Visina opločenja keramikom do cca 2,50 m. Prosječna debljina žbuke je 3 cm. U stavci je uključena pokretna skela. </t>
    </r>
    <r>
      <rPr>
        <b/>
        <sz val="12"/>
        <rFont val="Calibri"/>
        <family val="2"/>
        <charset val="238"/>
      </rPr>
      <t>NAPOMENA:</t>
    </r>
    <r>
      <rPr>
        <sz val="12"/>
        <rFont val="Calibri"/>
        <family val="2"/>
        <charset val="238"/>
      </rPr>
      <t xml:space="preserve"> Odnosi se na zidove koji se ne uklanjaju.</t>
    </r>
  </si>
  <si>
    <t>- jednostruka obloga, zidovi debljine 10-12 cm, ispuna staklena vuna 5 cm</t>
  </si>
  <si>
    <t>- otvor do 120 cm</t>
  </si>
  <si>
    <t>Dobava materijala, spravljanje betona i izvedba manjih betoniranja nakon prolaska instalacija. U stavci uključena eventualna jednostrana i dvostrana oplata, beton i armatura. Beton klase C 20/25.</t>
  </si>
  <si>
    <t>Izvedba cementnog estriha M 30 debljine 5 cm. Rad obuhvaća dobavu materijala, unutrašnji transport i izradu podloge. Stavka uključuje pripremu površine, razastiranje i ugradbu podloge, završnu obradu prema uvjetima za polaganje poda i zaštitu. Cementni estrih se armira PP vlakancima ili armaturnom mrežom Q-131. U stavku je uključena i izrada reške na mjestima sudara sa zidovima, stupovima i ostalim vertikalnim elementima konstrukcije s umetkom od ekspandiranog polistirena d=1 cm.</t>
  </si>
  <si>
    <t>- debljina sloja 2 cm</t>
  </si>
  <si>
    <t>UNUTARNJA ALUMINIJSKA BRAVARIJA</t>
  </si>
  <si>
    <t>- POZ. 1, dim. 70x205 cm</t>
  </si>
  <si>
    <t>Izrada, doprema i ugradnja unutarnje aluminijske bravarije.  U stavci je uključena pomoćna skela za montažu. U svemu prema pripadajućoj shemi iz projekta.</t>
  </si>
  <si>
    <t>NAPOMENA: Navedene su zidarske dimenzije otvora.</t>
  </si>
  <si>
    <t>- POZ. 2, dim. 90x205 cm</t>
  </si>
  <si>
    <t>- POZ. 3, dim. 85x205 cm</t>
  </si>
  <si>
    <t>HARMONIK PVC VRATA</t>
  </si>
  <si>
    <t>Izrada, doprema i ugradnja harmonik PVC vrata.  U stavci je uključena pomoćna skela za montažu. U svemu prema pripadajućoj shemi iz projekta.</t>
  </si>
  <si>
    <t>SANACIJA DRVENIH GAZIŠTA</t>
  </si>
  <si>
    <t>Brušenje postojećih slojeva, impregnacija, kitanje i lakiranje drvenih gazišta protukliznim premazom na vodenoj bazi.</t>
  </si>
  <si>
    <t>LIČENJE ČELIČNE OGRADE</t>
  </si>
  <si>
    <t>Ličenje čelične ograde stepenica i galerije visine 100 cm koja se sastoji od:</t>
  </si>
  <si>
    <t>- stupova okruglog profila Ø8 cm na svakih 100 cm,</t>
  </si>
  <si>
    <t>Stavka uključuje slijedeće faze izvedbe:</t>
  </si>
  <si>
    <t>- struganje svih slojeva boje s ograde i nanošenje antikorozivnog premaza</t>
  </si>
  <si>
    <t>- bojanje ograde u 3 sloja bojama za metal (1 temeljni sloj i 2 završna sloja)</t>
  </si>
  <si>
    <t>Dobava materijala i izvedba spuštenog stropa od gipskartonskih ploča.</t>
  </si>
  <si>
    <t>Spušteni strop sastoji se od slijedećih slojeva:</t>
  </si>
  <si>
    <t>- metalna potkonstrukcija iz tipskih čeličnih pocinčanih profila UD, CD (debljina lima 0,6 mm) za spušteni strop, u dva smjera, ovješena odgovarajućim ovjesom na ab ploču, profili prema odabranom proizvođaču, uz dokaz nosivosti,</t>
  </si>
  <si>
    <t>- jednostruke gipskartonske ploče, debljine 1x1,25 cm.</t>
  </si>
  <si>
    <t xml:space="preserve">Izvedba svih detalja prema standardnim detaljima proizvođača sustava. </t>
  </si>
  <si>
    <t xml:space="preserve">Izvoditi prema izmjerama na licu mjesta. </t>
  </si>
  <si>
    <t xml:space="preserve">U cijenu uključiti i sva potrebna bandažiranja i gletanja spojeva, glet masom odabranog proizvođača. </t>
  </si>
  <si>
    <t>LIČENJE STROPOVA (novi gk strop)</t>
  </si>
  <si>
    <t>ŽBUKANJE UNUTRAŠNJIH ZIDOVA I STROPOVA</t>
  </si>
  <si>
    <t>Dobava i polaganje podnih protukliznih keramičkih pločica 1. klase, klase protukliznosti R10, debljina 8-10 mm, dimenzije 33/33 ili 20/50 cm,  ljepljenje visokofleksibilnim ljepilom minimalne klase fleksibilnosti S1, na novoizvedeni cementni estrih.  Fuge širine 3 mm, boja po izboru projektanata. Pločice se polažu pod kutom od 45° ili s pomakom. Boja pločice iz standarnde RAL karte prozvođača.</t>
  </si>
  <si>
    <r>
      <t>Dobava i polaganje zidnih keramičkih pločica, 1. klase, debljina 7-8 mm, dimenzije 20/40 ili 20/50 cm,  ljepljenjem visokofleksibilnim ljepilom, na novoizvedenu žbuku. Fuge širine 3 mm, boja po izboru projektanata. Boja pločice iz standarnde RAL karte prozvođača. Pločice se postavljaju u punoj visini, do stropa.</t>
    </r>
    <r>
      <rPr>
        <b/>
        <sz val="12"/>
        <color rgb="FFFF0000"/>
        <rFont val="Calibri"/>
        <family val="2"/>
        <charset val="238"/>
      </rPr>
      <t/>
    </r>
  </si>
  <si>
    <t>Dobava i postava prešanog homogenog jednoslojnog PVC poda s poliuretanskim pojačanjem (IQ PUR) u trakama širine 200 cm.</t>
  </si>
  <si>
    <t>Tehničke karakteristike:</t>
  </si>
  <si>
    <r>
      <t>- reakcija na požar: minimalno B</t>
    </r>
    <r>
      <rPr>
        <vertAlign val="subscript"/>
        <sz val="12"/>
        <rFont val="Calibri"/>
        <family val="2"/>
        <charset val="238"/>
      </rPr>
      <t>fl</t>
    </r>
    <r>
      <rPr>
        <sz val="12"/>
        <rFont val="Calibri"/>
        <family val="2"/>
        <charset val="238"/>
      </rPr>
      <t xml:space="preserve"> s1 prema HRN EN 13501-1 ili jednakovrijedno,</t>
    </r>
  </si>
  <si>
    <t>- postojanost obojenja: maksimalno 7 prema HRN EN ISO 105-B02 ili jednakovrijedno,</t>
  </si>
  <si>
    <r>
      <t>Punoplošno lijepljenje ljepilom za linoleum prema preporuci proizvođača ljepila (disperziono ljepilo 300-350 g/m</t>
    </r>
    <r>
      <rPr>
        <vertAlign val="superscript"/>
        <sz val="12"/>
        <rFont val="Calibri"/>
        <family val="2"/>
        <charset val="238"/>
      </rPr>
      <t>2</t>
    </r>
    <r>
      <rPr>
        <sz val="12"/>
        <rFont val="Calibri"/>
        <family val="2"/>
        <charset val="238"/>
      </rPr>
      <t>, rubovi traka krojeni i rezani za zatvaranje spojeva taljivom elektrodom. Boja i uzorak iz standardne RAL karte proizvođača. Debljina poda 2,0 mm. Trake podne obloge termički se zatvaraju taljivom elektrodom prema preporuci proizvođača podne obloge.</t>
    </r>
  </si>
  <si>
    <t>Demontaža i odvoz dotrajale sanitarne opreme.</t>
  </si>
  <si>
    <t>- umivaonik sa sifonom i zidnom mješalicom</t>
  </si>
  <si>
    <t>- wc školjka s pripadajućim fazonskim komadom za spoj na glavni razvod</t>
  </si>
  <si>
    <t>- pisoar s pripadajućim fazonskim komadom za spoj na glavni razvod</t>
  </si>
  <si>
    <t>Obilježavanje, zarezivanje i strojno šlicanje AB ploče debljine 10 cm, za postavu novih odvodnih cijevi.</t>
  </si>
  <si>
    <t>STROJNO ŠLICANJE AB PLOČE</t>
  </si>
  <si>
    <t xml:space="preserve">Dobava i montaža cijevi od POLYPROPILENA za izvedbu unutarnje kanalizacije, uključivo materijal za brtvljenje. Fazonski komadi u metraži cijevi. Obračun po m' ugrađene cijevi. </t>
  </si>
  <si>
    <t>PRIKLJUČAK NA POSTOJEĆU ODVODNJU</t>
  </si>
  <si>
    <t>Izvedba priključaka na postojeću odvodnju.</t>
  </si>
  <si>
    <t xml:space="preserve">Dobava i montaža cijevi za sanitarni vodovod izrađenih iz PPR cijevi za vodu i fitinga za razvod sanitarne hladne i tople vode, uključivo toplinska izolacija cijevi minimalne debljine 6 mm od vulkanizirane sintetičke gume zatvorenih ćelija. Cijev je radne max. temperature 95°C (60°C pri 10 bara) i minimalnog nazivnog radnog tlaka 20 bara (PN20). Instalacija se ugrađuje sukladno prema DIN-u 1988 ili jednakovrijedno, te higijenskim zahtjevima koji se reguliraju propisima DIN-a 1988-2 i DIN-a 4753 ili jednakovrijedno. Po m' cijevi obračunati obujmice i sav ostali materijal za pričvršćenje cijevnog sustava. </t>
  </si>
  <si>
    <t>Dobava i montaža zapornog kutnog ventila DN15 s rozetom. Ugrađuje se kod umivaonika. Obračun po komadu ugrađenog ventila.</t>
  </si>
  <si>
    <t>Dobava i ugradba vratašca od nehrđajučeg čelika s okvirom. Ugrađuju se kod podžbuknog ventila.</t>
  </si>
  <si>
    <t>TUŠ KADA</t>
  </si>
  <si>
    <t>- dim. 90x90 cm</t>
  </si>
  <si>
    <t>- dim. 85x85 cm</t>
  </si>
  <si>
    <t>Dobava i montaža električnog bojlera za podstropnu izvedbu, sa svim spojnim materijalom, kromiranim crijevima, do pune funkcionalnosti. Energetski razred minimalno C.</t>
  </si>
  <si>
    <t>V= 80L</t>
  </si>
  <si>
    <t>- veličina 400 x 230 mm</t>
  </si>
  <si>
    <t>SANACIJA I NAKNADNA MONTAŽA RADIJATORA</t>
  </si>
  <si>
    <t>Čišćenje, ispiranje pod tlakom, ličenje 2x temeljnom bojom i 1x lakom otpornim na toplinu u bijeloj boji te naknadna montaža pohranjenih ogrjevnih tijela nakon ličenja zidova. U stavci je uključeno bušenja rupa u zidu, ovjesni pribor, izmjena prigušnica i ventila.</t>
  </si>
  <si>
    <t>Naknadna montaža po završetku radova raznih elemenata unutar zone radova.</t>
  </si>
  <si>
    <t>LIČENJE POSTOJEĆIH CIJEVI ZA GRIJANJE</t>
  </si>
  <si>
    <t>PROBIJANJE OTVORA U STROPNOJ PLOČI</t>
  </si>
  <si>
    <t>OBIJANJE ŽBUKE SA ZIDOVA</t>
  </si>
  <si>
    <t>Obračun po m² obijene podloge</t>
  </si>
  <si>
    <t>ZVUČNA IZOLACIJA PODA</t>
  </si>
  <si>
    <t>Dobava materijala i postava zvučne izolacije poda prizemlja i galerije. Izolacija se sastoji od ploča elastificiranog EPS-a, dinamičke krutosti maksimalno 30 MN/m³. Između ploča izolacije i plivajućeg betonskog estriha postavlja se polietilenska folija debljine 0,2 mm ljepljena samoljepljivom trakom širine 4 cm (uključena u cijenu). U stavku je uključen sav potreban rad i materijal.</t>
  </si>
  <si>
    <t>Uklanjanje pravokutne obloge od jednostrukih gipskartonskih ploča 12,5 mm.</t>
  </si>
  <si>
    <t>UKLANJANE OBLOGE VENTILACIJE OD GIPSKARTONSKIH PLOČA</t>
  </si>
  <si>
    <t>UKLANJANJE OBLOGE ZIDOVA OD GIPSKARTONSKIH PLOČA</t>
  </si>
  <si>
    <t>- jednostruka obloga, ispuna staklena vuna 5 cm</t>
  </si>
  <si>
    <t xml:space="preserve">Zidarska obrada zidova nakon postave instalacija. Stavka uključuje i dobavu i ugradnju PVC mrežice u polimerno ljepilo na mjestima postave instalacija u širini 20 cm. </t>
  </si>
  <si>
    <t xml:space="preserve">- zaštite od pada od pet okruglih profila Ø4 cm postavljenih između rukohvata i poda. </t>
  </si>
  <si>
    <t>Dobava i montaža tuš kade, sifona, mješalice, vodilice za tuš sa spojem na dovod vode, zavjese i pripadajuče šipke. Cijena sadrži sav potreban rad i materijal za montažu i spajanje na odvod.</t>
  </si>
  <si>
    <t>RUKOHVAT</t>
  </si>
  <si>
    <t xml:space="preserve">Dobava, izrada i montaža čeličnog rukohvata. Čelična okrugla cijev dimenzija Ø80/2 mm se zavaruje na postojeći čelični stup. Osnovni materijal za izradu čelične konstrukcije je S 235. Svi čelični dijelovi antikorozivno se zaštićuju zaštitnim premazima za klasu korozivnosti C1 prema HRN EN ISO 12944-2 ili jednakovrijedno. </t>
  </si>
  <si>
    <t>Uklanjanje obloge zidova od gips-kartonskih ploča, uključivo metalnu potkonstrukciju i ispunu. U stavci je uključena pokretna skela.</t>
  </si>
  <si>
    <t>OBIJANJE KERAM. PLOČICA SA GK ZIDOVA</t>
  </si>
  <si>
    <t>Strojno i ručno obijanje keramičkih pločica s gipskartonskih zidova.  Visina opločenja keramikom do cca 2,50 m.</t>
  </si>
  <si>
    <t>Dobava i ugradba tipskog montažnog nadvoja u zidovima širine 20 cm. Potrebno je izvesti ležaj u duljini minimalno 20 cm sa svake strane otvora za nalijeganje nadvoja. U stavci uključeno podupiranje, niveliranje i zabetoniravanje ležajeva.</t>
  </si>
  <si>
    <t>WC ŠKOLJKA</t>
  </si>
  <si>
    <t xml:space="preserve">Dobava i ugradnja stojeće WC školjke s odvodom u zid od keramike I klase. U stavku je uključena dobavu i ugradbu štednog niskomontažnog vodokotlića s ispirnom cijevi promjera Ø25 mm, kutnog ventila 15/10 mm sa spojnom fleksibilnom cijevi za priključak vodokotlića na instalaciju, WC dasku od tvrde plastike, vijke i tiple za montažu WC školjke, silikonski kit za brtvljenje, četku za WC, te tipsku gumenu brtvu (manžetu) za priključak na odvodnu vertikalu. Obračun po ugrađenom kompletu. </t>
  </si>
  <si>
    <t>- s jedne strana dvostruke vlagootporne gipskartonske ploče, sa druge strane dvostruke obične gipskartonske ploče, ukupne debljine zida d=10 cm</t>
  </si>
  <si>
    <t>- obične gipskartonske ploče</t>
  </si>
  <si>
    <t>- vlagootporne gipskartonske ploče u zoni tuševa</t>
  </si>
  <si>
    <t>SANITARNA VENTILACIJA</t>
  </si>
  <si>
    <t>Uključivo s:</t>
  </si>
  <si>
    <t xml:space="preserve"> - dvobrzinskom sklopkom REGUL-2</t>
  </si>
  <si>
    <t xml:space="preserve"> - fleksibilnim spojevima (2 kom)</t>
  </si>
  <si>
    <t>Ventilacijske spiro cijevi, proizvod kao DOMET ili odgovarajuće, izrađene od pocinčanog lima uključivo prijelazne i fazonske komade, lukove, redukcije, odvojke, plenume, T-komade, koljena 90° i 45° za montažu unutar instalacijskog sanitarnog kanala i instalacijskog okna do ulaza u prostor kupaonice sijedećih dimenzija:</t>
  </si>
  <si>
    <t>Ø 100 mm</t>
  </si>
  <si>
    <t>Odsisni zračni ventil proizvođač TROX tip LVS/100/G1</t>
  </si>
  <si>
    <t>Odsisni zračni ventil izrađen od čeličnog lima i plastificiran u bijelo RAL 9010 debljine 60 μm. Sastoji se od vanjskog prstena s brtvom, središnjeg diska s navojnom šipkom i ugradbenog okvira. Regulacija protoka zraka vrši se zakretanjem središnjeg diska.</t>
  </si>
  <si>
    <t>Ø100 mm</t>
  </si>
  <si>
    <t>Sitni montažni i potrošni materijal kao što su prirubnice, brtve, vijci, tipli, matice, podložne pločice, kopče, flahovi, limovi, obujmice, konzole, nosači, željezo za spajanje sekcija kanala i za njihovo zavješenje o strop i zidove, ovjesni, pričvrsni i drugi potrebni montažni materijal. U stavku su uračunate i obujmice za spajanje sekcija okruglih kanala i za njihovo zavješenje o zidove i unutarnje rubove instalacijskog kanala.</t>
  </si>
  <si>
    <t>Montaža navedene opreme i materijala komplet do pogonske gotovosti uključivo pojedinačnu i zajedničku regulaciju količine zraka, probni rad i balansiranje instalacije i sustava u cjelini, bez građevinskih i elektro radova sa izdavanjem atesta za svi instaliranu opremu i pozitivnu izjavu izvođača o završenim radovima, te davanje investitoru garancijskog lista za instaliranu opremu.</t>
  </si>
  <si>
    <t xml:space="preserve">Proizvođač: S&amp;P </t>
  </si>
  <si>
    <t>Niskoprofilni radijalno-aksijalni linijski ventilator s mješovitim protokom za ugradnju u okrugle kanale. Jedinstveni dizajn potpornog nosača omogućuje postavljanje ili uklanjanje ventilatora bez demontaže susjednog kanala. Kompaktno kućište niskog profila proizvedeno od čvrste ojačane plastike. Optimiziran dizajn impelera, vodilice i izlaznog difuzora za povećanje performansi i smanjenje razine buke (silent-block izvedba). Nepropusna konstrukcija s dvostrukim brtvljenjem između glavnog kućišta i potpornog nosača kako bi se izbjeglo curenje zraka. Gumene brtve na prirubnicama za poboljšanje nepropusnosti.</t>
  </si>
  <si>
    <t>Tip: TD-160/100 N SILENT</t>
  </si>
  <si>
    <t>Obračun po komadu.</t>
  </si>
  <si>
    <r>
      <t>Protok: 42,4 m</t>
    </r>
    <r>
      <rPr>
        <vertAlign val="superscript"/>
        <sz val="12"/>
        <rFont val="Calibri"/>
        <family val="2"/>
        <charset val="238"/>
      </rPr>
      <t>3</t>
    </r>
    <r>
      <rPr>
        <sz val="12"/>
        <rFont val="Calibri"/>
        <family val="2"/>
        <charset val="238"/>
      </rPr>
      <t>/h</t>
    </r>
  </si>
  <si>
    <t>Statički tlak: 51 Pa</t>
  </si>
  <si>
    <t>Dinamički tlak: 1,37 Pa</t>
  </si>
  <si>
    <t>Ukupni tlak: 52 Pa</t>
  </si>
  <si>
    <t>Ulazna snaga: 15 W</t>
  </si>
  <si>
    <t>Izlazna brzina: 1,5 m/s</t>
  </si>
  <si>
    <t>Broj okretaja ventilatora: 2548 rpm</t>
  </si>
  <si>
    <t>Dim. priključka: 100 mm</t>
  </si>
  <si>
    <t>Veličina ventilatora: 100 mm</t>
  </si>
  <si>
    <t>Masa: 1,4 kg</t>
  </si>
  <si>
    <t>Broj polova motora: 2</t>
  </si>
  <si>
    <t>Napajanje: 1-230V-50Hz</t>
  </si>
  <si>
    <t>Maks. struja: 0,2 A</t>
  </si>
  <si>
    <t>IP zaštita: IP44</t>
  </si>
  <si>
    <t>Izolacijski stupanj motora: B</t>
  </si>
  <si>
    <t>Zvučna snaga na ulazu (LwA): 53 dB</t>
  </si>
  <si>
    <t>Zvučna tlak na ulazu (LpA@1,5m): 38 cB</t>
  </si>
  <si>
    <t>Zvučna snaga na izlazu (LwA): 52 dB</t>
  </si>
  <si>
    <t>Zvučna tlak na izlazu (LpA@1,5m): 38 dB</t>
  </si>
  <si>
    <t>Zvučna snaga na kućištu (LwA): 42 dB</t>
  </si>
  <si>
    <t>Zvučna tlak oko kućišta (LpA@1,5m): 28 dB</t>
  </si>
  <si>
    <t>Dobava i ugradnja PVC pretlačne rešetke dimenzije  d 100 mm. Rešetka se isporučuje u boji fasade komplet s potrebnim materijalom za ugradnju kao što su vijci i tiple.</t>
  </si>
  <si>
    <t>IZVEDBA PRODORA U ZIDU</t>
  </si>
  <si>
    <t>Izvedba prodora u zidu od opeke za prolaz instalacije ventilacije. Debljina zida je 50-60 cm, dimenzija cijevi ventilacije Ø100 mm.</t>
  </si>
  <si>
    <t>Žbukanje unutrašnjih zidova tvornički spravljenim vapneno-cementnim mortom, prosječne debljine 3-5 cm. Izvodi se u 2 sloja, prvi sloj nivelirajući, za zapunjavanje neravnina u zidovima i stropovima. Prije žbukanja sve površine prskati rijetkim cementnim mortom (cementni špric). Na sve bridove ugrađuju se kutni profili od pocinčanog lima. Stavka uključuje dobavu i transport svog potrebnog materijala i izradu pokretne skele. Visina prostorija do 4,85 m. Obračun po m² gotove površine.</t>
  </si>
  <si>
    <t>Dobava materijala, impregniranje i čišćenje podloge te 2x gletanje i ličenje uljanom bojom u tonu po izboru korisnika. Izvodi se  u punoj visini prostorije do stropa, visina do 4,85 m. Dobava i ugradba potrebnog materijala i radna skela uključeni u stavku.</t>
  </si>
  <si>
    <t>Soboslikarska obrada stropova unutarnjeg prostora. Rad obuhvaća čišćenje površine, gletanje dva puta disperzivnim kitom, brušenje gletanih površina, otprašivanje, impregnaciju površine (impregnacija za disperzivne boje) i dvostruko bojanje disperzivnim akrilnim bojama u tonu po izboru korisnika. Izvodi se do visine 4,85 m od poda. Dobava i ugradba potrebnog materijala i radna skela uključeni u stavku.</t>
  </si>
  <si>
    <t>Strojno razbijanje stropne AB ploče za prolaz odvodne i vodovodne cijevi. Ploča debljine 10 cm. Izvodi se prodor dimenzija 20/20 cm.</t>
  </si>
  <si>
    <t>Prilikom izvedbe stolarskih i bravarskij radova opisanih ovim troškovnikom izvođač radova mora se pridržavati svih uvjeta i opisa iz troškovnika kao i važećih propisa. Prije izrade stolarije i bravarije izvođač je dužan izvršiti pojedinačne izmjere na građevini i prema tim izmjerama izraditi novu stolariju i bravariju.</t>
  </si>
  <si>
    <r>
      <t xml:space="preserve">Završna obrada: </t>
    </r>
    <r>
      <rPr>
        <sz val="12"/>
        <rFont val="Calibri"/>
        <family val="2"/>
        <charset val="238"/>
      </rPr>
      <t>plastifikacija u RAL 9010.</t>
    </r>
  </si>
  <si>
    <t>- ogledalo (160x200 cm)</t>
  </si>
  <si>
    <t>- kuhinjski element, dim. 415x80x60 cm</t>
  </si>
  <si>
    <t>- kuhinjski element, dim. 325x80x60 cm sa sudoperom</t>
  </si>
  <si>
    <t xml:space="preserve"> - dimenzija 50x50 cm</t>
  </si>
  <si>
    <t>Pažljiva demontaža pločastih radijatora i deponiranje na privremeni deponiji radi naknadne ugradnje.</t>
  </si>
  <si>
    <t>ISPUŠTANJE VODE IZ SUSTAVA</t>
  </si>
  <si>
    <t>Stavka uključuje:</t>
  </si>
  <si>
    <t>- detekcija i brtvljenje mjesta curenja postojećih čeličnih cijevi za grijanje i postojećih radijatora.</t>
  </si>
  <si>
    <t>- čišćenje kompletnog sustava cijevnog razvoda grijanja i radijatora od kamenca, prljavštine, korozije i taloga tlačno vodom s sredstvima za čišćenje, te izvršiti dezinfekciju i neutralizaciju sustava za grijanje od kiselina za čišćenje.</t>
  </si>
  <si>
    <t>- uklanjanje ostatka sredstva za lemljenje i varenja, krhotine, metalne strugotine, masnoće, ostatke mineralnih ulja, korozije i kamenca iz sustava cijevnog razvoda grijanja i radijatora</t>
  </si>
  <si>
    <t>U stavku uključen sav materijal, pribor i sredsta te ponovno puštanje u pogon, tlačna proba, balansiranje i dr. do potpune pogonske gotovosti.</t>
  </si>
  <si>
    <t>- ispuštanje vode iz sustava prethodno svim radovima na sustavu radijatorskog grijanja, postojeći sustav grijanja se stavlja privremeno izvan pogona dok traju radovi</t>
  </si>
  <si>
    <t>OPĆI UVJETI ELEKTROINSTALACIJA</t>
  </si>
  <si>
    <t>Dezinfekcija i ispiranje kompletne vodovodne mreže, uzimanje uzoraka vode i ishođenje pozitivnog atesta o izvršenom ispitivanju unutarnje vodovodne mreže po propisima Zavoda za javno zdravstvo, Zakonu o vodi za ljudsku potrošnju (NN 30/23), Pravilniku o parametrima sukladnosti, metodama analiza i monitorinzima vode za ljudsku potrošnju (NN 64/23, 88/23) i naputku Ministarstva zdravstva o obimu ispitivanja vode za piće.</t>
  </si>
  <si>
    <t>- šank, keramička ploča dim. 325x40 cm</t>
  </si>
  <si>
    <t>- unutarnja i vanjska klima jedinica uključujući cijevni razvod</t>
  </si>
  <si>
    <t>HLAĐENJE</t>
  </si>
  <si>
    <t xml:space="preserve">Vanjska jedinica split sustava, namjenjena za vanjsku montažu - zaštićena od vremenskih utjecaja, s ugrađenim inverter kompresorom,  zrakom hlađenim kondenzatorom i svim potrebnim elementima za zaštitu, kontrolu i regulaciju uređaja i funkcionalni rad. Rashladni medij R-410A. </t>
  </si>
  <si>
    <t>Kao proizvod Fujitsu tip: AOYG12LVCA</t>
  </si>
  <si>
    <t>Slijedećih teh. karakteristika:</t>
  </si>
  <si>
    <t>Napojna snaga u hlađenju:</t>
  </si>
  <si>
    <t>N = 1,14 kW / 230 V - 50 Hz</t>
  </si>
  <si>
    <t>Napojna snaga u grijanju:</t>
  </si>
  <si>
    <t>N = 1,44 kW / 230 V - 50 Hz</t>
  </si>
  <si>
    <t>Protok zraka: 1910m3/h</t>
  </si>
  <si>
    <t>Nivo zvučne snage 65 dBA</t>
  </si>
  <si>
    <t>Nivo zvučnog tlaka: hlađenje: 50/50 dBA</t>
  </si>
  <si>
    <t>Nivo zvučnog tlaka: grijanje: 50/50 dBA</t>
  </si>
  <si>
    <t>Dimenzije: 740 x 200 mm ; h = 600 mm</t>
  </si>
  <si>
    <t>Težina: 40 kg</t>
  </si>
  <si>
    <t>Maksimalna duljina cjevovoda 20 m, od toga visinski 15 m.</t>
  </si>
  <si>
    <t>Priključak R410A: tekuća faza: 6,35 mm</t>
  </si>
  <si>
    <t>Priključak R410A: plinovita faza: 9,52 mm</t>
  </si>
  <si>
    <t>Radno područje: grijanje: od -15 do 24°C</t>
  </si>
  <si>
    <t>Radno područje: hlađenje: od -10 (-15) do 43°C</t>
  </si>
  <si>
    <t>Napajanje : 230V / 50 Hz ~1</t>
  </si>
  <si>
    <t>Unutarnja  jedinica zidne izvedbe sa maskom, opremljena ventilatorom, 4-brzinskim elektromotorom, izmjenjivačem topline s direktnom ekspazijom freona, te svim potrebnim elementima za zaštitu, kontrolu i regulaciju uređaja i temperature.</t>
  </si>
  <si>
    <t>Kao proizvod Fujitsu tip: ASYG12LMCE</t>
  </si>
  <si>
    <t>Slijedećih tehničkih karakteristika:</t>
  </si>
  <si>
    <t>Nazivna učinkovitost (hlađenje pri uvjetima 35°C/27°C nazivnog opterećenja, te grijanje pri uvjetima 7°C/20°C nazivnog opterećenja)</t>
  </si>
  <si>
    <t>Qh =3,5</t>
  </si>
  <si>
    <t>EER= 4,01</t>
  </si>
  <si>
    <t>Oznaka energetske učinkovitosti: A++</t>
  </si>
  <si>
    <t>Qg = 4,0</t>
  </si>
  <si>
    <t>COP= 4,43</t>
  </si>
  <si>
    <t>Oznaka energetske učinkovitosti: A+</t>
  </si>
  <si>
    <t>Godišnja potrošnja energije : 967 kWh</t>
  </si>
  <si>
    <t>Protok zraka hlađenje: 570 m3/h</t>
  </si>
  <si>
    <t>Protok zraka grijanje: 570 m3/h</t>
  </si>
  <si>
    <t>Nivo zvučnog tlaka: hlađenje: 22 - 40 dBA</t>
  </si>
  <si>
    <t>Nivo zvučnog tlaka: grijanje: 22 - 40 dBA</t>
  </si>
  <si>
    <t>Nivo zvučnog snage: 55 dB(A)</t>
  </si>
  <si>
    <t>Dimenzije: 870 x 240 mm ; h = 290 mm</t>
  </si>
  <si>
    <t>Težina: 9 kg</t>
  </si>
  <si>
    <t>Boja kučišta: bijela</t>
  </si>
  <si>
    <t>Stavka uključuje bežični daljinski upravljač sa 7-dnevnim timerom.</t>
  </si>
  <si>
    <t xml:space="preserve">Dobava predizolirane bakrene cijevi u kolutu za freonsku instalaciju plinske i tekuće faze namjenjene za rashladni medij R-410A. U kompletu sa spojnicama i koljenima, spojnim i pričvrsnim materijalom. </t>
  </si>
  <si>
    <t>d 6,35</t>
  </si>
  <si>
    <t>Dobava pocinčanih nosača za vanjsku jedinicu i unutarnje jedinice od kutnog željeza. U stavku uključen sav potrebni materijal kao što su obujmice, konzole, nosači, kutnici, flahovi, matice, vijci, stope, oslonci, podlošci i sl.</t>
  </si>
  <si>
    <t>Dobava izolacije cijevnog razvoda u vanjskom prostoru mineralnom vunom u oblozi od Al lima.</t>
  </si>
  <si>
    <t>Cijevi za kondenzat iz PE Aquatherm ili slične jednakovrijedne cijevi. U metraži uključene kose račve, redukcije, fitinzi i svi ostali spojni elementi za spajanje kondenzata u sifone sanitarnih elemenata, sanitarne otvore u podu i dr. u koje se vrši spoj cijevi kondenzata.</t>
  </si>
  <si>
    <t>f 40x3,5 mm (DN 32)</t>
  </si>
  <si>
    <t xml:space="preserve"> m'</t>
  </si>
  <si>
    <t>Montaža sve opreme, strojarsko i elektro povezivanje unutarnjih i vanjskih jedinica i svih drugih elemenata prema stavkama. U stavku uključen rashladni medij R410A, sav potreban materijal i rad do potpune pogonske sposobnosti, te puštanje u pogon klimatizacijskog sustava uključivo provjeru nepropusnosti freonske instalacije, tlačnu probu, vakumiranje i dr.. U stavku uključeno izdavanje potrebnih uputa za korištenje, atesta i garancija od strane ovlaštenog servisa.</t>
  </si>
  <si>
    <t>Sitni potrošni materijal vezan uz ovu instalaciju kao što su vijci, tipli, ovjesni i pričvrsni materijal (obujmice, konzole, nosači, stope, flahovi i sl.), materijal za autogeno varenje i dr., a nije obuhvaćen stavkama troškovnika. Obračun prema stvarnim količinama.</t>
  </si>
  <si>
    <t>Dobava materijala i ličenje cijevi grijanja bojama za metal otpornim na viskoe temperature. Cijevi promjera 1/2''-3/4''.</t>
  </si>
  <si>
    <t>U jediničnim cijenama za sve stavke troškovnika, ponuda mora sadržavati ukupne troškove materijala i rada do potpunog dovršenja cjelokupnog posla, uključujući:</t>
  </si>
  <si>
    <t>* nabavu i transport na gradilište, utovare, istovare, skladištenje i čuvanje,</t>
  </si>
  <si>
    <t>* sav rad, glavni i pomoćni, uporabu lakih pokretnih skela, sva potrebna podupiranja, sav unutrašnji transport i potrebnu zaštitu izvedenih radova,</t>
  </si>
  <si>
    <t>* spajanje i montažu, uključujući sav potreban spojni, montažni, pričvrsni i ostali materijal potreban za potpuno funkcioniranje,</t>
  </si>
  <si>
    <t>* po potrebi uzemljenje,</t>
  </si>
  <si>
    <t>* izradu utora po zidovima i prodora kroz zidove i podove (stropove) kompletno sa zbinjavanjem istih,</t>
  </si>
  <si>
    <t>* sva prateća čišćenja tijekom izvođenja radova,</t>
  </si>
  <si>
    <t>* troškove zbrinjavanja otpada,</t>
  </si>
  <si>
    <t>* izradu prateće radioničke dokumentacije za sve razvodne ormare, izradu natpisnih pločica, oznaka kabela i rednih stezaljki,</t>
  </si>
  <si>
    <t>* nabavu i transport na radilište, utovare, istovare, skladištenje i čuvanje,</t>
  </si>
  <si>
    <t>* građevinsku pripomoć u vidu izrada niša, ugradbom i obzidavanjem razvodnih polja te sve ostale građevinske radove koji se odnose na elektroinstalaterske radove,</t>
  </si>
  <si>
    <t>* puštanje sustava u rad, izradu uputa za rukovanje i obuku korisnika,</t>
  </si>
  <si>
    <t>* za sve izvedene radove, ugrađene materijale i opremu, potrebno je ishoditi dokaze o kakvoći (atesta dokumentacije, garantni listovi) te ih bez posebne naknade dati na uvid nadzornom inženjeru, a prilikom promopredaje građevine, uručiti Investitoru odnosno kranjem korisniku,</t>
  </si>
  <si>
    <t>* sva isporučena i ugrađena oprema i materijali moraju imati hrvatske certifikate i osiguran servis i održavanje u Republici Hrvatskoj.</t>
  </si>
  <si>
    <t>* kabeli i kabelske grupe moraju biti iz EU</t>
  </si>
  <si>
    <t>* ovjes na mjestu brtvljenja mora biti 20 cm od brtvljenja</t>
  </si>
  <si>
    <t>Ponuditelji su dužni prije podnošenja ponude temeljito pregledati projektnu dokumentaciju i za eventualne nejasnoće konzultirati projektanta. Također, obvezuju se procijeniti sve činjenice koje utječu na cijenu, kvalitetu i rok završetka radova, budući da se naknadni prigovori i zahtjevi za povećavanje cijene zbog nepoznavanja građevine i projektne dokumentacije neće uzeti u obzir.</t>
  </si>
  <si>
    <t>Za sve eventualne primjedbe u pogledu izvođenja i troškovnika, obratiti se projektantu, prije davanja ponude.</t>
  </si>
  <si>
    <t>Sječenje kabela izvesti na licu mjesta nakon izmjerene stvarne dužine trase.</t>
  </si>
  <si>
    <t>Obveza je izvoditelja da sve prodore u zidovima zatvore, prema pravilima struke ovisno da li se radi o požarnim ili običnim zidovima</t>
  </si>
  <si>
    <t>Ponuđač radova mora ponuditi sve stavke iz ovog troškovnika. Ukoliko neke od stavki ne nudi ili predlaže alternativu, to u svojoj ponudi mora posebno naglasiti.</t>
  </si>
  <si>
    <t xml:space="preserve">Prije početka radova, Izvoditelj radova je dužan osigurati radilište i obavezno primjenjivati sve mjere zaštite na radu za sredstva rada (atestirana) i radnike (zaštitne kacige, zaštitna obuća i sl.). </t>
  </si>
  <si>
    <t>Za eventualne štete uzrokovane neodgovornim ili nestručnim radom, odgovara Izvoditelj radova te ih je obavezan nadoknaditi Investitoru.</t>
  </si>
  <si>
    <t>Gore navedene napomene su obvezatne i biti će sastavni dio ugovorne dokumentacije!</t>
  </si>
  <si>
    <t>Odspajanje i demontaža kablova. Prosječno 10 m kabela po rasvjetnom mjestu ili utičnici. U stavci uključeno iznošenje iz objekta te odvoz na reciklažno dvorište za EE otpad s plaćanjem svih naknada zbrinjavanja.</t>
  </si>
  <si>
    <t>NS</t>
  </si>
  <si>
    <t>Odspajanje i demontaža postojećih ugradnih ili nadgradnih svjetiljki. U stavci uključeno iznošenje iz objekta te odvoz na reciklažno dvorište za EE otpad s plaćanjem svih naknada zbrinjavanja.</t>
  </si>
  <si>
    <t>Odspajanje i demontaža utičnica i prekidača, razvodnih kutija i ostalog pomoćnog materijala. U stavci uključeno iznošenje iz objekta te odvoz na reciklažno dvorište za EE otpad s plaćanjem svih naknada zbrinjavanja.</t>
  </si>
  <si>
    <t>Odspajanje i demontaža opreme i postojećih razvodnih ormara. U stavci uključeno iznošenje iz objekta te odvoz na reciklažno dvorište za EE otpad s plaćanjem svih naknada zbrinjavanja.</t>
  </si>
  <si>
    <t>RAZVODNI UREĐAJI I NAPOJNI VODOVI</t>
  </si>
  <si>
    <t>Dobava, montaža i spajanje novog razvodnog ormara "RO" koji se sastoji od slijedeće ugrađene opreme:</t>
  </si>
  <si>
    <t>Ormar plastični, troredni, 3x12 modula</t>
  </si>
  <si>
    <t>Naponski okidač 208-250 AC/DC</t>
  </si>
  <si>
    <t>Kućište cilindričnog osigurača 3P, 10x38</t>
  </si>
  <si>
    <t>Osigurač cilindrični 25A, GG, 10x38</t>
  </si>
  <si>
    <t>Odvodnik prenapona klasa C, 4P, 20kA</t>
  </si>
  <si>
    <t>FID sklopka 25A, 4 polna, 30 mA, 10kA</t>
  </si>
  <si>
    <t>Automatski osigurač C6, 1 polni, 10 Ka</t>
  </si>
  <si>
    <t>Automatski osigurač C10, 1 polni, 10 kA</t>
  </si>
  <si>
    <t>Automatski osigurač C16, 1 polni, 10 kA</t>
  </si>
  <si>
    <t>Ispitni list razvodnog ormara "RO"</t>
  </si>
  <si>
    <t>Izjava o sukladnosti i oznaka o sukladnosti u ormaru za razvodni ormar kuhinje "RO"</t>
  </si>
  <si>
    <t>Ostali sitni nespecificirani materijal (L, N i PE sabirnice, nosači, kanalice, stopice, vijci i sl. ). Cjena komplet izvedenog ormara sa montažom i spajanjem na objektu, te isporukom sheme spajanja stvarno izvedenog stanja</t>
  </si>
  <si>
    <t>Spajanje postojećeg napojnog kabela od postojeće pozicije ormara pa do pozicije ormara RO. Stavka obuhvaća kabel PP00 5x10mm2 od 2m i spojni pribor za nastavljanje postojećeg napojnog kabela ukoliko je potrebno. Kompletno sa spajanjem, te svim spojnim i montažnim priborom i materijalom</t>
  </si>
  <si>
    <t>Dobava i polaganje dijelomično podžbukno u PVC cijevi, a dijelomično u PVC kanalicu kabela za napajanje potrošača (rasvjeta, priključnice, izvodi) sa razvodnog ormara "RO" tipa:</t>
  </si>
  <si>
    <t>NYM 3x1,5mm2</t>
  </si>
  <si>
    <t>NYM 3x2,5mm2</t>
  </si>
  <si>
    <t>PVC cijev CSΦ20mm</t>
  </si>
  <si>
    <t>PVC kanal 25x25 mm</t>
  </si>
  <si>
    <t>Izrada šliceva štemanjem ili rezanjem dijelomično u betonskim zidovima/stropovima, dijelomično u zidovima/stropovim od opeke za kabele i instalacijske PVC cijevi, prosječna širina i dubina štemanja je 40mm</t>
  </si>
  <si>
    <t>IZJEDNAČENJE POTENCIJALA</t>
  </si>
  <si>
    <t>Dobava, montaža i spajanje podžbukne kutije za izjednačenje potencijala</t>
  </si>
  <si>
    <t>Dobava i polaganje voda H07V-K 1G6mm2 između razdjelnika i kutije za izjednačenje potencijala</t>
  </si>
  <si>
    <t>Dobava i polaganje voda H07V-K 1G4mm2 za izradu uzemljenja sa kutije za izjednačenje potencijala</t>
  </si>
  <si>
    <t>Izrada spoja za metalnu masu</t>
  </si>
  <si>
    <t>INSTALACIJA PRIKLJUČNICA I EMP-A</t>
  </si>
  <si>
    <t>INSTALACIJA ELEKTRIČNE RASVJETE</t>
  </si>
  <si>
    <t>ISPITIVANJE I IZDAVANJE ATESTA</t>
  </si>
  <si>
    <t>OSTALI RADOVI</t>
  </si>
  <si>
    <t>INSTALACIJA RAČUNALNE I TELEFONSKE MREŽE</t>
  </si>
  <si>
    <t>INSTALACIJA VATRODOJAVE</t>
  </si>
  <si>
    <t>Dobava, montaža i spajanje seta podžbuknih priključnica 2x230V/16A, 4-modularni komplet sastavljen od: podžbukna kutija za 4 modula (1 kom), nosač za 4 modula (1 kom), jednofazna schuko priključnica 230V/16A, 2p+PE, 2M (2 kom) i okvir za 4 modula (1 kom)</t>
  </si>
  <si>
    <t>Dobava i montaža tipkala za isključenje električne energije u nuždi JPR, tip PIT ALARM</t>
  </si>
  <si>
    <t>Dobava i montaža p/ž razvodne kutije tip 100x100mm</t>
  </si>
  <si>
    <t>Dobava i montaža IC senzora za uklop rasvjete 230V/10A, tip LEGRAND</t>
  </si>
  <si>
    <t>Dobava, montaža i spajanje downlight rasvjetnog tijela, LED, 8W, 830, ø95x54mm, 878 lm</t>
  </si>
  <si>
    <r>
      <t xml:space="preserve">Dobava, montaža i spajanje </t>
    </r>
    <r>
      <rPr>
        <b/>
        <sz val="12"/>
        <rFont val="Calibri"/>
        <family val="2"/>
        <charset val="238"/>
      </rPr>
      <t>običnog podžbuknog prekidača 230V/10A</t>
    </r>
    <r>
      <rPr>
        <sz val="12"/>
        <rFont val="Calibri"/>
        <family val="2"/>
        <charset val="238"/>
      </rPr>
      <t>, 2-modularni komplet sastavljen od: podžbukna kutija za 2 modula (1 kom), nosač za 2 modula (1 kom), prekidač obični, 1M (2 kom) i okvir za 2 modula (1 kom)</t>
    </r>
  </si>
  <si>
    <r>
      <t xml:space="preserve">Dobava, montaža i spajanje seta sastavljenog od dva </t>
    </r>
    <r>
      <rPr>
        <b/>
        <sz val="12"/>
        <rFont val="Calibri"/>
        <family val="2"/>
        <charset val="238"/>
      </rPr>
      <t>obična podžbukna prekidača 230V/10A</t>
    </r>
    <r>
      <rPr>
        <sz val="12"/>
        <rFont val="Calibri"/>
        <family val="2"/>
        <charset val="238"/>
      </rPr>
      <t>, 2-modularni komplet sastavljen od: podžbukna kutija za 2 modula (1 kom), nosač za 2 modula (1 kom), prekidač obični, 1M (2 kom) i okvir za 2 modula (1 kom)</t>
    </r>
  </si>
  <si>
    <t>Dobava, montaža i spajanje nadgradnog rasvjetnog tijela protupanične rasvjete 1h, 70lm, Ni Cd, IP42, IK4</t>
  </si>
  <si>
    <t>Dobava, montaža i spajanje downlight rasvjetnog tijela, dimenzija ø234/67mm, snaga 15W, LED, IP44, u kučištu za nadgradnu montažu</t>
  </si>
  <si>
    <t>Dobava, montaža i spajanje nadgradnog rasvjetnog tijela, snaga 18W, LED, IP65</t>
  </si>
  <si>
    <t>Ispitivanje i kontrola električne instalacije obzirom na:</t>
  </si>
  <si>
    <t>Funkcionalno ispitivanje električnih instalacija</t>
  </si>
  <si>
    <t>Provjera zaštite od direktnog dodira dijelova pod naponom</t>
  </si>
  <si>
    <t>Provjera zaštite od indirektnog dodira</t>
  </si>
  <si>
    <t>Ispitivanje otpora izolacije vodiča i kabela</t>
  </si>
  <si>
    <t>Ispitivanje neprekinutosti zaštitnog vodiča, te izjednačenja potencijala</t>
  </si>
  <si>
    <t>Funkcionalno ispitivanje protupanične rasvjete</t>
  </si>
  <si>
    <t>Ispitivanje rasvjete objekta</t>
  </si>
  <si>
    <t>Ispitavanje ispravnosti i funkcionalnosti sustava za isključenje električne energije u nuždi</t>
  </si>
  <si>
    <t>Izrada dokumentacije izvedenog stanja u 3 primjerka</t>
  </si>
  <si>
    <t>Dobava i uvlačenje u položene PVC cijevi i kanale kablova:</t>
  </si>
  <si>
    <t>UTP Cat 6</t>
  </si>
  <si>
    <t>Dobava i polaganje PVC cijevi i kanala:</t>
  </si>
  <si>
    <t>Cijev CSΦ25mm</t>
  </si>
  <si>
    <t>Dobava, montaža i spajanje podžbuknih priključnica RJ45, 2-modularni komplet sastavljen od: podžbukna kutija za 2 modula (1 kom), nosač za 2 modula (1 kom), priključnica RJ45, 2M (1 kom) i okvir za 2 modula (1 kom)</t>
  </si>
  <si>
    <t>Ostali sitni nespecifirani materijal i pribor</t>
  </si>
  <si>
    <t>Dobava, doprema i postavljanje oznaka kabela i priključnica</t>
  </si>
  <si>
    <t>Isporuka oznaka i postavljanje oznaka na kabele</t>
  </si>
  <si>
    <t>Isporuka i postavljanje oznaka na priključnice</t>
  </si>
  <si>
    <t>Električna mjerenja i ispitivanja telefonske instalacije te izdavanje odgovarajućih atesta</t>
  </si>
  <si>
    <t xml:space="preserve">Dobava, montaža i spajanje podnožja optičkog automatskog javljača požara kompitabilnog sa postojećim sustavom vatrodojave na objektu </t>
  </si>
  <si>
    <t xml:space="preserve">Dobava, montaža i spajanje optičkog automatskog javljača požara kompitabilnog sa postojećim sustavom vatrodojave na objektu </t>
  </si>
  <si>
    <t xml:space="preserve">Dobava, montaža i spajanje ručnog javljača požara kompitabilnog sa postojećim sustavom vatrodojave na objektu </t>
  </si>
  <si>
    <t>Dobava, isporuka i montaža oznaka za označavanje elemenata sustava za dojavu požara</t>
  </si>
  <si>
    <t xml:space="preserve">Dobava i montaža kabela JE-H(St)H E30 2x2x0,8mm2 </t>
  </si>
  <si>
    <t>Dobava i montaža PNT cijevi Φ20mm kompletno sa svim spojnim i montažnim priborom</t>
  </si>
  <si>
    <t>Programiranje i konfiguriranje sustava</t>
  </si>
  <si>
    <t>Ispitivanje sustava od strane ovlaštene ustanove</t>
  </si>
  <si>
    <t>Jediničnom cijenom izvođač treba obuhvatiti sve potrebne radnje za demontažu, rušenje, razgradnju, odnosno obijanja sa svim prijenosima do prijevoznih sredstava, skladišta ili privremene deponije otpadnog materijala,  i  odvozom na reciklažno dvorište za građevni ili EE otpad s plaćanjem svih naknada zbrinjavanja (ako u stavci nije drugačije navedeno). U jediničnu cijenu uključiti faktor rastresitosti - priznaje se količina u sraslom stanju.</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</si>
</sst>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kn&quot;_-;\-* #,##0.00\ &quot;kn&quot;_-;_-* &quot;-&quot;??\ &quot;kn&quot;_-;_-@_-"/>
    <numFmt numFmtId="43" formatCode="_-* #,##0.00\ _k_n_-;\-* #,##0.00\ _k_n_-;_-* &quot;-&quot;??\ _k_n_-;_-@_-"/>
    <numFmt numFmtId="164" formatCode="General\."/>
    <numFmt numFmtId="165" formatCode="_-* #,##0.00_-;\-* #,##0.00_-;_-* &quot;-&quot;??_-;_-@_-"/>
    <numFmt numFmtId="166" formatCode="000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0"/>
      <name val="MS Sans Serif"/>
      <family val="2"/>
      <charset val="238"/>
    </font>
    <font>
      <b/>
      <sz val="12"/>
      <name val="Calibri"/>
      <family val="2"/>
      <charset val="238"/>
    </font>
    <font>
      <sz val="12"/>
      <name val="Calibri"/>
      <family val="2"/>
      <charset val="238"/>
    </font>
    <font>
      <sz val="12"/>
      <name val="Arial"/>
      <family val="2"/>
      <charset val="238"/>
    </font>
    <font>
      <sz val="14"/>
      <name val="Arial"/>
      <family val="2"/>
      <charset val="238"/>
    </font>
    <font>
      <b/>
      <sz val="11"/>
      <name val="Arial"/>
      <family val="2"/>
      <charset val="238"/>
    </font>
    <font>
      <sz val="11"/>
      <name val="Arial"/>
      <family val="2"/>
      <charset val="238"/>
    </font>
    <font>
      <b/>
      <u/>
      <sz val="12"/>
      <name val="Calibri"/>
      <family val="2"/>
      <charset val="238"/>
    </font>
    <font>
      <sz val="14"/>
      <name val="Calibri"/>
      <family val="2"/>
      <charset val="238"/>
    </font>
    <font>
      <b/>
      <sz val="14"/>
      <name val="Calibri"/>
      <family val="2"/>
      <charset val="238"/>
    </font>
    <font>
      <sz val="18"/>
      <name val="Calibri"/>
      <family val="2"/>
      <charset val="238"/>
    </font>
    <font>
      <b/>
      <sz val="18"/>
      <name val="Calibri"/>
      <family val="2"/>
      <charset val="238"/>
    </font>
    <font>
      <sz val="11"/>
      <color theme="1"/>
      <name val="Calibri"/>
      <family val="2"/>
      <charset val="238"/>
      <scheme val="minor"/>
    </font>
    <font>
      <b/>
      <sz val="14"/>
      <name val="Calibri"/>
      <family val="2"/>
      <charset val="238"/>
      <scheme val="minor"/>
    </font>
    <font>
      <sz val="14"/>
      <name val="Calibri"/>
      <family val="2"/>
      <charset val="238"/>
      <scheme val="minor"/>
    </font>
    <font>
      <sz val="12"/>
      <color rgb="FFFF0000"/>
      <name val="Calibri"/>
      <family val="2"/>
      <charset val="238"/>
    </font>
    <font>
      <sz val="11"/>
      <name val="Arial"/>
      <family val="1"/>
    </font>
    <font>
      <b/>
      <sz val="16"/>
      <name val="Calibri"/>
      <family val="2"/>
      <charset val="238"/>
      <scheme val="minor"/>
    </font>
    <font>
      <sz val="10"/>
      <name val="Calibri"/>
      <family val="2"/>
      <charset val="238"/>
      <scheme val="minor"/>
    </font>
    <font>
      <b/>
      <sz val="10"/>
      <name val="Calibri"/>
      <family val="2"/>
      <charset val="238"/>
      <scheme val="minor"/>
    </font>
    <font>
      <sz val="18"/>
      <name val="Calibri"/>
      <family val="2"/>
      <charset val="238"/>
      <scheme val="minor"/>
    </font>
    <font>
      <b/>
      <sz val="12"/>
      <color rgb="FFFF0000"/>
      <name val="Calibri"/>
      <family val="2"/>
      <charset val="238"/>
    </font>
    <font>
      <sz val="10"/>
      <name val="Arial"/>
      <family val="2"/>
    </font>
    <font>
      <sz val="10"/>
      <name val="Verdana"/>
      <family val="2"/>
      <charset val="238"/>
    </font>
    <font>
      <sz val="10"/>
      <name val="Helv"/>
      <charset val="238"/>
    </font>
    <font>
      <sz val="12"/>
      <name val="Calibri"/>
      <family val="2"/>
      <charset val="238"/>
      <scheme val="minor"/>
    </font>
    <font>
      <b/>
      <sz val="12"/>
      <name val="Calibri"/>
      <family val="2"/>
      <charset val="238"/>
      <scheme val="minor"/>
    </font>
    <font>
      <vertAlign val="superscript"/>
      <sz val="12"/>
      <name val="Calibri"/>
      <family val="2"/>
      <charset val="238"/>
    </font>
    <font>
      <sz val="10"/>
      <name val="Calibri"/>
      <family val="2"/>
      <charset val="238"/>
    </font>
    <font>
      <b/>
      <i/>
      <sz val="12"/>
      <name val="Calibri"/>
      <family val="2"/>
      <charset val="238"/>
    </font>
    <font>
      <sz val="12"/>
      <color rgb="FF00B050"/>
      <name val="Calibri"/>
      <family val="2"/>
      <charset val="238"/>
    </font>
    <font>
      <vertAlign val="subscript"/>
      <sz val="12"/>
      <name val="Calibri"/>
      <family val="2"/>
      <charset val="238"/>
    </font>
  </fonts>
  <fills count="4">
    <fill>
      <patternFill patternType="none"/>
    </fill>
    <fill>
      <patternFill patternType="gray125"/>
    </fill>
    <fill>
      <patternFill patternType="solid">
        <fgColor indexed="55"/>
        <bgColor indexed="64"/>
      </patternFill>
    </fill>
    <fill>
      <patternFill patternType="solid">
        <fgColor rgb="FF969696"/>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5">
    <xf numFmtId="0" fontId="0" fillId="0" borderId="0"/>
    <xf numFmtId="40" fontId="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1" fillId="0" borderId="0"/>
    <xf numFmtId="0" fontId="2" fillId="0" borderId="0"/>
    <xf numFmtId="0" fontId="20" fillId="0" borderId="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0" fontId="2" fillId="0" borderId="0" applyBorder="0">
      <alignment horizontal="left" wrapText="1" indent="1"/>
      <protection locked="0"/>
    </xf>
    <xf numFmtId="0" fontId="2" fillId="0" borderId="0"/>
    <xf numFmtId="0" fontId="26" fillId="0" borderId="0"/>
    <xf numFmtId="165" fontId="2" fillId="0" borderId="0" applyFont="0" applyFill="0" applyBorder="0" applyAlignment="0" applyProtection="0"/>
    <xf numFmtId="0" fontId="27" fillId="0" borderId="0"/>
    <xf numFmtId="0" fontId="28" fillId="0" borderId="0"/>
    <xf numFmtId="44" fontId="26" fillId="0" borderId="0" applyFont="0" applyFill="0" applyBorder="0" applyAlignment="0" applyProtection="0"/>
    <xf numFmtId="165" fontId="26" fillId="0" borderId="0" applyFont="0" applyFill="0" applyBorder="0" applyAlignment="0" applyProtection="0"/>
  </cellStyleXfs>
  <cellXfs count="239">
    <xf numFmtId="0" fontId="0" fillId="0" borderId="0" xfId="0"/>
    <xf numFmtId="0" fontId="6" fillId="0" borderId="0" xfId="0" applyFont="1" applyProtection="1"/>
    <xf numFmtId="0" fontId="6" fillId="0" borderId="0" xfId="0" applyFont="1" applyAlignment="1" applyProtection="1">
      <alignment horizontal="center" vertical="center"/>
    </xf>
    <xf numFmtId="0" fontId="6" fillId="0" borderId="0" xfId="0" applyFont="1" applyAlignment="1" applyProtection="1">
      <alignment vertical="top"/>
    </xf>
    <xf numFmtId="0" fontId="5" fillId="0" borderId="0" xfId="0" applyFont="1" applyProtection="1"/>
    <xf numFmtId="0" fontId="6" fillId="0" borderId="0" xfId="0" applyFont="1" applyFill="1" applyProtection="1"/>
    <xf numFmtId="0" fontId="6" fillId="0" borderId="0" xfId="30" applyFont="1" applyProtection="1"/>
    <xf numFmtId="0" fontId="6" fillId="0" borderId="0" xfId="30" applyFont="1" applyAlignment="1" applyProtection="1">
      <alignment vertical="top"/>
    </xf>
    <xf numFmtId="4" fontId="6" fillId="0" borderId="0" xfId="30" applyNumberFormat="1" applyFont="1" applyAlignment="1" applyProtection="1">
      <alignment horizontal="right"/>
    </xf>
    <xf numFmtId="0" fontId="22" fillId="0" borderId="0" xfId="0" applyFont="1" applyProtection="1"/>
    <xf numFmtId="0" fontId="23" fillId="0" borderId="0" xfId="0" applyFont="1" applyProtection="1"/>
    <xf numFmtId="0" fontId="18" fillId="0" borderId="0" xfId="0" applyFont="1" applyProtection="1"/>
    <xf numFmtId="0" fontId="5" fillId="0" borderId="0" xfId="30" applyFont="1" applyAlignment="1" applyProtection="1">
      <alignment vertical="top"/>
    </xf>
    <xf numFmtId="164" fontId="22" fillId="0" borderId="0" xfId="0" applyNumberFormat="1" applyFont="1" applyAlignment="1" applyProtection="1">
      <alignment horizontal="left" vertical="top"/>
    </xf>
    <xf numFmtId="164" fontId="24" fillId="0" borderId="0" xfId="0" applyNumberFormat="1" applyFont="1" applyAlignment="1" applyProtection="1">
      <alignment horizontal="left" vertical="top"/>
    </xf>
    <xf numFmtId="164" fontId="17" fillId="0" borderId="1" xfId="0" applyNumberFormat="1" applyFont="1" applyBorder="1" applyAlignment="1" applyProtection="1">
      <alignment horizontal="left" vertical="top"/>
    </xf>
    <xf numFmtId="164" fontId="17" fillId="0" borderId="0" xfId="0" applyNumberFormat="1" applyFont="1" applyBorder="1" applyAlignment="1" applyProtection="1">
      <alignment horizontal="left" vertical="top"/>
    </xf>
    <xf numFmtId="164" fontId="18" fillId="0" borderId="3" xfId="0" applyNumberFormat="1" applyFont="1" applyBorder="1" applyAlignment="1" applyProtection="1">
      <alignment horizontal="left" vertical="top"/>
    </xf>
    <xf numFmtId="0" fontId="5" fillId="0" borderId="0" xfId="0" applyNumberFormat="1" applyFont="1" applyFill="1" applyAlignment="1" applyProtection="1">
      <alignment horizontal="justify" vertical="top" wrapText="1"/>
    </xf>
    <xf numFmtId="0" fontId="6" fillId="0" borderId="0" xfId="0" applyNumberFormat="1" applyFont="1" applyAlignment="1" applyProtection="1">
      <alignment horizontal="justify" vertical="top" wrapText="1"/>
    </xf>
    <xf numFmtId="0" fontId="5" fillId="0" borderId="0" xfId="0" applyNumberFormat="1" applyFont="1" applyAlignment="1" applyProtection="1">
      <alignment horizontal="justify" vertical="top" wrapText="1"/>
    </xf>
    <xf numFmtId="0" fontId="5" fillId="2" borderId="0" xfId="0" applyNumberFormat="1" applyFont="1" applyFill="1" applyAlignment="1" applyProtection="1">
      <alignment horizontal="justify" vertical="top" wrapText="1"/>
    </xf>
    <xf numFmtId="0" fontId="6" fillId="0" borderId="0" xfId="0" quotePrefix="1" applyNumberFormat="1" applyFont="1" applyAlignment="1" applyProtection="1">
      <alignment horizontal="justify" vertical="top" wrapText="1"/>
    </xf>
    <xf numFmtId="0" fontId="5" fillId="0" borderId="0" xfId="0" applyNumberFormat="1" applyFont="1" applyBorder="1" applyAlignment="1" applyProtection="1">
      <alignment horizontal="justify" vertical="top" wrapText="1"/>
    </xf>
    <xf numFmtId="0" fontId="6" fillId="0" borderId="0" xfId="0" quotePrefix="1" applyNumberFormat="1" applyFont="1" applyFill="1" applyAlignment="1" applyProtection="1">
      <alignment horizontal="justify" vertical="top" wrapText="1"/>
    </xf>
    <xf numFmtId="0" fontId="11" fillId="0" borderId="0" xfId="0" applyNumberFormat="1" applyFont="1" applyAlignment="1" applyProtection="1">
      <alignment horizontal="justify" vertical="top" wrapText="1"/>
    </xf>
    <xf numFmtId="0" fontId="5" fillId="2" borderId="0" xfId="0" applyNumberFormat="1" applyFont="1" applyFill="1" applyAlignment="1" applyProtection="1">
      <alignment horizontal="left" vertical="top"/>
    </xf>
    <xf numFmtId="164" fontId="23" fillId="0" borderId="0" xfId="0" applyNumberFormat="1" applyFont="1" applyAlignment="1" applyProtection="1">
      <alignment horizontal="center" vertical="center"/>
    </xf>
    <xf numFmtId="4" fontId="5" fillId="0" borderId="4" xfId="0" applyNumberFormat="1" applyFont="1" applyBorder="1" applyAlignment="1" applyProtection="1">
      <alignment horizontal="center" vertical="center" wrapText="1" shrinkToFit="1"/>
    </xf>
    <xf numFmtId="0" fontId="21" fillId="0" borderId="0" xfId="0" applyNumberFormat="1" applyFont="1" applyAlignment="1" applyProtection="1">
      <alignment horizontal="center" vertical="center"/>
    </xf>
    <xf numFmtId="0" fontId="24" fillId="0" borderId="0" xfId="0" applyNumberFormat="1" applyFont="1" applyAlignment="1" applyProtection="1">
      <alignment horizontal="justify" vertical="top"/>
    </xf>
    <xf numFmtId="0" fontId="17" fillId="0" borderId="0" xfId="0" applyNumberFormat="1" applyFont="1" applyBorder="1" applyAlignment="1" applyProtection="1">
      <alignment horizontal="justify" vertical="top"/>
    </xf>
    <xf numFmtId="0" fontId="17" fillId="0" borderId="2" xfId="0" applyNumberFormat="1" applyFont="1" applyBorder="1" applyAlignment="1" applyProtection="1">
      <alignment horizontal="justify" vertical="top"/>
    </xf>
    <xf numFmtId="0" fontId="18" fillId="0" borderId="2" xfId="0" applyNumberFormat="1" applyFont="1" applyBorder="1" applyAlignment="1" applyProtection="1">
      <alignment horizontal="justify" vertical="top"/>
    </xf>
    <xf numFmtId="0" fontId="18" fillId="0" borderId="3" xfId="0" applyNumberFormat="1" applyFont="1" applyBorder="1" applyAlignment="1" applyProtection="1">
      <alignment horizontal="justify" vertical="top"/>
    </xf>
    <xf numFmtId="0" fontId="22" fillId="0" borderId="0" xfId="0" applyNumberFormat="1" applyFont="1" applyAlignment="1" applyProtection="1">
      <alignment horizontal="justify" vertical="top"/>
    </xf>
    <xf numFmtId="43" fontId="5" fillId="0" borderId="4" xfId="3" applyNumberFormat="1" applyFont="1" applyBorder="1" applyAlignment="1" applyProtection="1">
      <alignment horizontal="center" vertical="center" wrapText="1" shrinkToFit="1"/>
    </xf>
    <xf numFmtId="0" fontId="5" fillId="0" borderId="0" xfId="0" applyNumberFormat="1" applyFont="1" applyFill="1" applyAlignment="1" applyProtection="1">
      <alignment horizontal="left" vertical="top"/>
    </xf>
    <xf numFmtId="164" fontId="5" fillId="0" borderId="0" xfId="0" applyNumberFormat="1" applyFont="1" applyAlignment="1" applyProtection="1">
      <alignment horizontal="right" vertical="top"/>
    </xf>
    <xf numFmtId="164" fontId="5" fillId="2" borderId="0" xfId="0" applyNumberFormat="1" applyFont="1" applyFill="1" applyAlignment="1" applyProtection="1">
      <alignment horizontal="right" vertical="top"/>
    </xf>
    <xf numFmtId="164" fontId="5" fillId="0" borderId="0" xfId="0" applyNumberFormat="1" applyFont="1" applyFill="1" applyAlignment="1" applyProtection="1">
      <alignment horizontal="right" vertical="top"/>
    </xf>
    <xf numFmtId="0" fontId="5" fillId="0" borderId="4" xfId="0" applyNumberFormat="1" applyFont="1" applyBorder="1" applyAlignment="1" applyProtection="1">
      <alignment horizontal="center" vertical="center" wrapText="1" shrinkToFit="1"/>
    </xf>
    <xf numFmtId="0" fontId="6" fillId="0" borderId="0" xfId="43" applyNumberFormat="1" applyFont="1" applyFill="1" applyBorder="1" applyAlignment="1" applyProtection="1">
      <alignment horizontal="justify" vertical="top" wrapText="1"/>
    </xf>
    <xf numFmtId="164" fontId="21" fillId="3" borderId="0" xfId="0" applyNumberFormat="1" applyFont="1" applyFill="1" applyBorder="1" applyAlignment="1" applyProtection="1">
      <alignment horizontal="left" vertical="top"/>
    </xf>
    <xf numFmtId="0" fontId="21" fillId="3" borderId="0" xfId="0" applyNumberFormat="1" applyFont="1" applyFill="1" applyBorder="1" applyAlignment="1" applyProtection="1">
      <alignment horizontal="center" vertical="top"/>
    </xf>
    <xf numFmtId="164" fontId="17" fillId="0" borderId="1" xfId="0" applyNumberFormat="1" applyFont="1" applyBorder="1" applyAlignment="1" applyProtection="1">
      <alignment horizontal="right" vertical="top"/>
    </xf>
    <xf numFmtId="164" fontId="17" fillId="0" borderId="0" xfId="0" applyNumberFormat="1" applyFont="1" applyBorder="1" applyAlignment="1" applyProtection="1">
      <alignment horizontal="right" vertical="top"/>
    </xf>
    <xf numFmtId="4" fontId="30" fillId="3" borderId="0" xfId="0" applyNumberFormat="1" applyFont="1" applyFill="1" applyBorder="1" applyAlignment="1" applyProtection="1">
      <alignment horizontal="center" shrinkToFit="1"/>
    </xf>
    <xf numFmtId="4" fontId="30" fillId="0" borderId="0" xfId="0" applyNumberFormat="1" applyFont="1" applyAlignment="1" applyProtection="1">
      <alignment horizontal="center" vertical="center" wrapText="1" shrinkToFit="1"/>
    </xf>
    <xf numFmtId="4" fontId="30" fillId="0" borderId="0" xfId="0" applyNumberFormat="1" applyFont="1" applyAlignment="1" applyProtection="1">
      <alignment horizontal="center" vertical="center" shrinkToFit="1"/>
    </xf>
    <xf numFmtId="4" fontId="29" fillId="0" borderId="0" xfId="0" applyNumberFormat="1" applyFont="1" applyAlignment="1" applyProtection="1">
      <alignment horizontal="center" shrinkToFit="1"/>
    </xf>
    <xf numFmtId="4" fontId="29" fillId="0" borderId="0" xfId="0" applyNumberFormat="1" applyFont="1" applyFill="1" applyAlignment="1" applyProtection="1">
      <alignment horizontal="center" shrinkToFit="1"/>
    </xf>
    <xf numFmtId="4" fontId="30" fillId="0" borderId="1" xfId="0" applyNumberFormat="1" applyFont="1" applyBorder="1" applyAlignment="1" applyProtection="1">
      <alignment horizontal="center" shrinkToFit="1"/>
    </xf>
    <xf numFmtId="4" fontId="30" fillId="0" borderId="1" xfId="0" applyNumberFormat="1" applyFont="1" applyFill="1" applyBorder="1" applyAlignment="1" applyProtection="1">
      <alignment horizontal="center" shrinkToFit="1"/>
    </xf>
    <xf numFmtId="4" fontId="30" fillId="0" borderId="0" xfId="0" applyNumberFormat="1" applyFont="1" applyBorder="1" applyAlignment="1" applyProtection="1">
      <alignment horizontal="center" shrinkToFit="1"/>
    </xf>
    <xf numFmtId="4" fontId="30" fillId="0" borderId="0" xfId="0" applyNumberFormat="1" applyFont="1" applyFill="1" applyBorder="1" applyAlignment="1" applyProtection="1">
      <alignment horizontal="center" shrinkToFit="1"/>
    </xf>
    <xf numFmtId="4" fontId="30" fillId="0" borderId="2" xfId="0" applyNumberFormat="1" applyFont="1" applyBorder="1" applyAlignment="1" applyProtection="1">
      <alignment horizontal="center" shrinkToFit="1"/>
    </xf>
    <xf numFmtId="4" fontId="30" fillId="0" borderId="2" xfId="0" applyNumberFormat="1" applyFont="1" applyFill="1" applyBorder="1" applyAlignment="1" applyProtection="1">
      <alignment horizontal="center" shrinkToFit="1"/>
    </xf>
    <xf numFmtId="4" fontId="29" fillId="0" borderId="2" xfId="0" applyNumberFormat="1" applyFont="1" applyBorder="1" applyAlignment="1" applyProtection="1">
      <alignment horizontal="center" shrinkToFit="1"/>
    </xf>
    <xf numFmtId="4" fontId="29" fillId="0" borderId="3" xfId="0" applyNumberFormat="1" applyFont="1" applyBorder="1" applyAlignment="1" applyProtection="1">
      <alignment horizontal="center" shrinkToFit="1"/>
    </xf>
    <xf numFmtId="4" fontId="29" fillId="0" borderId="3" xfId="0" applyNumberFormat="1" applyFont="1" applyFill="1" applyBorder="1" applyAlignment="1" applyProtection="1">
      <alignment horizontal="center" shrinkToFit="1"/>
    </xf>
    <xf numFmtId="4" fontId="30" fillId="0" borderId="5" xfId="0" applyNumberFormat="1" applyFont="1" applyBorder="1" applyAlignment="1" applyProtection="1">
      <alignment horizontal="center" shrinkToFit="1"/>
    </xf>
    <xf numFmtId="4" fontId="5" fillId="0" borderId="4" xfId="3" applyNumberFormat="1" applyFont="1" applyBorder="1" applyAlignment="1" applyProtection="1">
      <alignment horizontal="center" vertical="center" wrapText="1" shrinkToFit="1"/>
    </xf>
    <xf numFmtId="164" fontId="5" fillId="0" borderId="4" xfId="0" applyNumberFormat="1" applyFont="1" applyBorder="1" applyAlignment="1" applyProtection="1">
      <alignment horizontal="center" vertical="center"/>
    </xf>
    <xf numFmtId="0" fontId="19" fillId="0" borderId="0" xfId="0" quotePrefix="1" applyNumberFormat="1" applyFont="1" applyAlignment="1" applyProtection="1">
      <alignment horizontal="justify" vertical="top" wrapText="1"/>
    </xf>
    <xf numFmtId="0" fontId="6" fillId="0" borderId="0" xfId="0" applyNumberFormat="1" applyFont="1" applyFill="1" applyAlignment="1" applyProtection="1">
      <alignment horizontal="justify" vertical="top" wrapText="1"/>
    </xf>
    <xf numFmtId="43" fontId="6" fillId="0" borderId="1" xfId="0" applyNumberFormat="1" applyFont="1" applyBorder="1" applyAlignment="1" applyProtection="1">
      <alignment horizontal="center" vertical="center" shrinkToFit="1"/>
    </xf>
    <xf numFmtId="43" fontId="5" fillId="0" borderId="0" xfId="3" applyNumberFormat="1" applyFont="1" applyAlignment="1" applyProtection="1">
      <alignment horizontal="center" vertical="center" shrinkToFit="1"/>
    </xf>
    <xf numFmtId="43" fontId="6" fillId="2" borderId="0" xfId="3" applyNumberFormat="1" applyFont="1" applyFill="1" applyAlignment="1" applyProtection="1">
      <alignment horizontal="center" vertical="center" shrinkToFit="1"/>
    </xf>
    <xf numFmtId="43" fontId="6" fillId="0" borderId="0" xfId="3" applyNumberFormat="1" applyFont="1" applyFill="1" applyAlignment="1" applyProtection="1">
      <alignment horizontal="center" vertical="center" shrinkToFit="1"/>
    </xf>
    <xf numFmtId="43" fontId="5" fillId="2" borderId="0" xfId="0" applyNumberFormat="1" applyFont="1" applyFill="1" applyAlignment="1" applyProtection="1">
      <alignment horizontal="center" vertical="center" shrinkToFit="1"/>
    </xf>
    <xf numFmtId="43" fontId="5" fillId="0" borderId="0" xfId="0" applyNumberFormat="1" applyFont="1" applyFill="1" applyAlignment="1" applyProtection="1">
      <alignment horizontal="center" vertical="center" shrinkToFit="1"/>
    </xf>
    <xf numFmtId="43" fontId="5" fillId="0" borderId="0" xfId="0" applyNumberFormat="1" applyFont="1" applyAlignment="1" applyProtection="1">
      <alignment horizontal="center" vertical="center" shrinkToFit="1"/>
    </xf>
    <xf numFmtId="43" fontId="6" fillId="0" borderId="0" xfId="0" applyNumberFormat="1" applyFont="1" applyAlignment="1" applyProtection="1">
      <alignment horizontal="center" vertical="center" shrinkToFit="1"/>
    </xf>
    <xf numFmtId="43" fontId="6" fillId="0" borderId="0" xfId="0" applyNumberFormat="1" applyFont="1" applyFill="1" applyAlignment="1" applyProtection="1">
      <alignment horizontal="center" vertical="center" shrinkToFit="1"/>
    </xf>
    <xf numFmtId="43" fontId="19" fillId="0" borderId="0" xfId="0" applyNumberFormat="1" applyFont="1" applyBorder="1" applyAlignment="1" applyProtection="1">
      <alignment horizontal="center" vertical="center" shrinkToFit="1"/>
    </xf>
    <xf numFmtId="43" fontId="11" fillId="2" borderId="0" xfId="0" applyNumberFormat="1" applyFont="1" applyFill="1" applyAlignment="1" applyProtection="1">
      <alignment horizontal="center" vertical="center" shrinkToFit="1"/>
    </xf>
    <xf numFmtId="43" fontId="11" fillId="0" borderId="0" xfId="0" applyNumberFormat="1" applyFont="1" applyAlignment="1" applyProtection="1">
      <alignment horizontal="center" vertical="center" shrinkToFit="1"/>
    </xf>
    <xf numFmtId="0" fontId="6" fillId="0" borderId="1" xfId="0" applyNumberFormat="1" applyFont="1" applyBorder="1" applyAlignment="1" applyProtection="1">
      <alignment horizontal="center" vertical="center" shrinkToFit="1"/>
    </xf>
    <xf numFmtId="4" fontId="6" fillId="0" borderId="1" xfId="0" applyNumberFormat="1" applyFont="1" applyBorder="1" applyAlignment="1" applyProtection="1">
      <alignment horizontal="center" vertical="center" shrinkToFit="1"/>
    </xf>
    <xf numFmtId="0" fontId="5" fillId="0" borderId="0" xfId="0" applyNumberFormat="1" applyFont="1" applyAlignment="1" applyProtection="1">
      <alignment horizontal="center" vertical="center" shrinkToFit="1"/>
    </xf>
    <xf numFmtId="4" fontId="5" fillId="0" borderId="0" xfId="0" applyNumberFormat="1" applyFont="1" applyAlignment="1" applyProtection="1">
      <alignment horizontal="center" vertical="center" shrinkToFit="1"/>
    </xf>
    <xf numFmtId="0" fontId="5" fillId="2" borderId="0" xfId="0" applyNumberFormat="1" applyFont="1" applyFill="1" applyAlignment="1" applyProtection="1">
      <alignment horizontal="center" vertical="center" shrinkToFit="1"/>
    </xf>
    <xf numFmtId="4" fontId="5" fillId="2" borderId="0" xfId="0" applyNumberFormat="1" applyFont="1" applyFill="1" applyAlignment="1" applyProtection="1">
      <alignment horizontal="center" vertical="center" shrinkToFit="1"/>
    </xf>
    <xf numFmtId="0" fontId="5" fillId="0" borderId="0" xfId="0" applyNumberFormat="1" applyFont="1" applyFill="1" applyAlignment="1" applyProtection="1">
      <alignment horizontal="center" vertical="center" shrinkToFit="1"/>
    </xf>
    <xf numFmtId="4" fontId="5" fillId="0" borderId="0" xfId="0" applyNumberFormat="1" applyFont="1" applyFill="1" applyAlignment="1" applyProtection="1">
      <alignment horizontal="center" vertical="center" shrinkToFit="1"/>
    </xf>
    <xf numFmtId="0" fontId="6" fillId="0" borderId="0" xfId="0" applyNumberFormat="1" applyFont="1" applyAlignment="1" applyProtection="1">
      <alignment horizontal="center" vertical="center" shrinkToFit="1"/>
    </xf>
    <xf numFmtId="4" fontId="6" fillId="0" borderId="0" xfId="0" applyNumberFormat="1" applyFont="1" applyAlignment="1" applyProtection="1">
      <alignment horizontal="center" vertical="center" shrinkToFit="1"/>
    </xf>
    <xf numFmtId="0" fontId="6" fillId="2" borderId="0" xfId="0" applyNumberFormat="1" applyFont="1" applyFill="1" applyAlignment="1" applyProtection="1">
      <alignment horizontal="center" vertical="center" shrinkToFit="1"/>
    </xf>
    <xf numFmtId="4" fontId="6" fillId="2" borderId="0" xfId="0" applyNumberFormat="1" applyFont="1" applyFill="1" applyAlignment="1" applyProtection="1">
      <alignment horizontal="center" vertical="center" shrinkToFit="1"/>
    </xf>
    <xf numFmtId="0" fontId="19" fillId="0" borderId="0" xfId="0" applyNumberFormat="1" applyFont="1" applyBorder="1" applyAlignment="1" applyProtection="1">
      <alignment horizontal="center" vertical="center" shrinkToFit="1"/>
    </xf>
    <xf numFmtId="4" fontId="19" fillId="0" borderId="0" xfId="0" applyNumberFormat="1" applyFont="1" applyFill="1" applyBorder="1" applyAlignment="1" applyProtection="1">
      <alignment horizontal="center" vertical="center" shrinkToFit="1"/>
    </xf>
    <xf numFmtId="4" fontId="6" fillId="0" borderId="0" xfId="0" applyNumberFormat="1" applyFont="1" applyFill="1" applyAlignment="1" applyProtection="1">
      <alignment horizontal="center" vertical="center" shrinkToFit="1"/>
    </xf>
    <xf numFmtId="0" fontId="6" fillId="0" borderId="0" xfId="0" applyNumberFormat="1" applyFont="1" applyFill="1" applyAlignment="1" applyProtection="1">
      <alignment horizontal="center" vertical="center" shrinkToFit="1"/>
    </xf>
    <xf numFmtId="4" fontId="6" fillId="0" borderId="0" xfId="0" applyNumberFormat="1" applyFont="1" applyAlignment="1" applyProtection="1">
      <alignment horizontal="center" vertical="center" shrinkToFit="1"/>
      <protection locked="0"/>
    </xf>
    <xf numFmtId="4" fontId="5" fillId="0" borderId="0" xfId="0" applyNumberFormat="1" applyFont="1" applyAlignment="1" applyProtection="1">
      <alignment horizontal="center" vertical="center" shrinkToFit="1"/>
      <protection locked="0"/>
    </xf>
    <xf numFmtId="4" fontId="6" fillId="0" borderId="0" xfId="0" applyNumberFormat="1" applyFont="1" applyFill="1" applyAlignment="1" applyProtection="1">
      <alignment horizontal="center" vertical="center" shrinkToFit="1"/>
      <protection locked="0"/>
    </xf>
    <xf numFmtId="4" fontId="6" fillId="2" borderId="0" xfId="0" applyNumberFormat="1" applyFont="1" applyFill="1" applyAlignment="1" applyProtection="1">
      <alignment horizontal="center" vertical="center" shrinkToFit="1"/>
      <protection locked="0"/>
    </xf>
    <xf numFmtId="4" fontId="5" fillId="2" borderId="0" xfId="0" applyNumberFormat="1" applyFont="1" applyFill="1" applyAlignment="1" applyProtection="1">
      <alignment horizontal="center" vertical="center" shrinkToFit="1"/>
      <protection locked="0"/>
    </xf>
    <xf numFmtId="0" fontId="11" fillId="2" borderId="0" xfId="0" applyNumberFormat="1" applyFont="1" applyFill="1" applyAlignment="1" applyProtection="1">
      <alignment horizontal="center" vertical="center" shrinkToFit="1"/>
    </xf>
    <xf numFmtId="4" fontId="11" fillId="2" borderId="0" xfId="0" applyNumberFormat="1" applyFont="1" applyFill="1" applyAlignment="1" applyProtection="1">
      <alignment horizontal="center" vertical="center" shrinkToFit="1"/>
    </xf>
    <xf numFmtId="0" fontId="11" fillId="0" borderId="0" xfId="0" applyNumberFormat="1" applyFont="1" applyAlignment="1" applyProtection="1">
      <alignment horizontal="center" vertical="center" shrinkToFit="1"/>
    </xf>
    <xf numFmtId="4" fontId="11" fillId="0" borderId="0" xfId="0" applyNumberFormat="1" applyFont="1" applyAlignment="1" applyProtection="1">
      <alignment horizontal="center" vertical="center" shrinkToFit="1"/>
    </xf>
    <xf numFmtId="164" fontId="6" fillId="0" borderId="0" xfId="0" applyNumberFormat="1" applyFont="1" applyAlignment="1" applyProtection="1">
      <alignment horizontal="left" vertical="top"/>
    </xf>
    <xf numFmtId="164" fontId="25" fillId="0" borderId="0" xfId="0" applyNumberFormat="1" applyFont="1" applyAlignment="1" applyProtection="1">
      <alignment horizontal="right" vertical="top"/>
    </xf>
    <xf numFmtId="164" fontId="11" fillId="2" borderId="0" xfId="0" applyNumberFormat="1" applyFont="1" applyFill="1" applyAlignment="1" applyProtection="1">
      <alignment horizontal="right" vertical="top"/>
    </xf>
    <xf numFmtId="164" fontId="6" fillId="0" borderId="0" xfId="0" applyNumberFormat="1" applyFont="1" applyAlignment="1" applyProtection="1">
      <alignment horizontal="center" vertical="center" shrinkToFit="1"/>
    </xf>
    <xf numFmtId="4" fontId="29" fillId="0" borderId="0" xfId="0" applyNumberFormat="1" applyFont="1" applyBorder="1" applyAlignment="1" applyProtection="1">
      <alignment horizontal="center" vertical="center" shrinkToFit="1"/>
      <protection locked="0"/>
    </xf>
    <xf numFmtId="4" fontId="29" fillId="0" borderId="0" xfId="0" applyNumberFormat="1" applyFont="1" applyFill="1" applyBorder="1" applyAlignment="1" applyProtection="1">
      <alignment horizontal="center" vertical="center" shrinkToFit="1"/>
      <protection locked="0"/>
    </xf>
    <xf numFmtId="0" fontId="29" fillId="0" borderId="0" xfId="0" applyFont="1" applyBorder="1" applyAlignment="1" applyProtection="1">
      <alignment horizontal="center" vertical="center" shrinkToFit="1"/>
    </xf>
    <xf numFmtId="4" fontId="29" fillId="0" borderId="0" xfId="0" applyNumberFormat="1" applyFont="1" applyBorder="1" applyAlignment="1" applyProtection="1">
      <alignment horizontal="center" vertical="center" shrinkToFit="1"/>
    </xf>
    <xf numFmtId="164" fontId="30" fillId="0" borderId="0" xfId="0" applyNumberFormat="1" applyFont="1" applyBorder="1" applyAlignment="1" applyProtection="1">
      <alignment horizontal="right" vertical="top"/>
    </xf>
    <xf numFmtId="0" fontId="29" fillId="0" borderId="0" xfId="0" applyNumberFormat="1" applyFont="1" applyBorder="1" applyAlignment="1" applyProtection="1">
      <alignment horizontal="justify" vertical="top" wrapText="1"/>
    </xf>
    <xf numFmtId="0" fontId="29" fillId="0" borderId="0" xfId="0" applyFont="1" applyFill="1" applyBorder="1" applyAlignment="1" applyProtection="1">
      <alignment horizontal="center" vertical="center" shrinkToFit="1"/>
    </xf>
    <xf numFmtId="0" fontId="29" fillId="0" borderId="0" xfId="0" applyFont="1" applyFill="1" applyBorder="1" applyAlignment="1" applyProtection="1"/>
    <xf numFmtId="0" fontId="29" fillId="0" borderId="0" xfId="0" applyFont="1" applyBorder="1" applyProtection="1"/>
    <xf numFmtId="4" fontId="29" fillId="0" borderId="0" xfId="0" applyNumberFormat="1" applyFont="1" applyFill="1" applyBorder="1" applyAlignment="1" applyProtection="1">
      <alignment horizontal="center" vertical="center" shrinkToFit="1"/>
    </xf>
    <xf numFmtId="164" fontId="29" fillId="0" borderId="0" xfId="0" applyNumberFormat="1" applyFont="1" applyFill="1" applyBorder="1" applyAlignment="1" applyProtection="1">
      <alignment horizontal="right" vertical="top"/>
    </xf>
    <xf numFmtId="0" fontId="29" fillId="0" borderId="0" xfId="0" applyNumberFormat="1" applyFont="1" applyFill="1" applyBorder="1" applyAlignment="1" applyProtection="1">
      <alignment horizontal="justify" vertical="top" wrapText="1"/>
    </xf>
    <xf numFmtId="164" fontId="29" fillId="0" borderId="0" xfId="0" applyNumberFormat="1" applyFont="1" applyBorder="1" applyAlignment="1" applyProtection="1">
      <alignment horizontal="right" vertical="top"/>
    </xf>
    <xf numFmtId="164" fontId="6" fillId="0" borderId="0" xfId="0" applyNumberFormat="1" applyFont="1" applyAlignment="1" applyProtection="1">
      <alignment horizontal="center" vertical="center" shrinkToFit="1"/>
      <protection locked="0"/>
    </xf>
    <xf numFmtId="4" fontId="6" fillId="0" borderId="1" xfId="0" applyNumberFormat="1" applyFont="1" applyBorder="1" applyAlignment="1" applyProtection="1">
      <alignment horizontal="center" vertical="center" shrinkToFit="1"/>
      <protection locked="0"/>
    </xf>
    <xf numFmtId="4" fontId="5" fillId="0" borderId="0" xfId="3" applyNumberFormat="1" applyFont="1" applyAlignment="1" applyProtection="1">
      <alignment horizontal="center" vertical="center" shrinkToFit="1"/>
      <protection locked="0"/>
    </xf>
    <xf numFmtId="4" fontId="6" fillId="2" borderId="0" xfId="3" applyNumberFormat="1" applyFont="1" applyFill="1" applyAlignment="1" applyProtection="1">
      <alignment horizontal="center" vertical="center" shrinkToFit="1"/>
      <protection locked="0"/>
    </xf>
    <xf numFmtId="4" fontId="6" fillId="0" borderId="0" xfId="3" applyNumberFormat="1" applyFont="1" applyFill="1" applyAlignment="1" applyProtection="1">
      <alignment horizontal="center" vertical="center" shrinkToFit="1"/>
      <protection locked="0"/>
    </xf>
    <xf numFmtId="4" fontId="5" fillId="0" borderId="0" xfId="0" applyNumberFormat="1" applyFont="1" applyFill="1" applyAlignment="1" applyProtection="1">
      <alignment horizontal="center" vertical="center" shrinkToFit="1"/>
      <protection locked="0"/>
    </xf>
    <xf numFmtId="4" fontId="19" fillId="0" borderId="0" xfId="0" applyNumberFormat="1" applyFont="1" applyBorder="1" applyAlignment="1" applyProtection="1">
      <alignment horizontal="center" vertical="center" shrinkToFit="1"/>
      <protection locked="0"/>
    </xf>
    <xf numFmtId="4" fontId="11" fillId="2" borderId="0" xfId="0" applyNumberFormat="1" applyFont="1" applyFill="1" applyAlignment="1" applyProtection="1">
      <alignment horizontal="center" vertical="center" shrinkToFit="1"/>
      <protection locked="0"/>
    </xf>
    <xf numFmtId="4" fontId="11" fillId="0" borderId="0" xfId="0" applyNumberFormat="1" applyFont="1" applyAlignment="1" applyProtection="1">
      <alignment horizontal="center" vertical="center" shrinkToFit="1"/>
      <protection locked="0"/>
    </xf>
    <xf numFmtId="0" fontId="5" fillId="0" borderId="0" xfId="30" applyNumberFormat="1" applyFont="1" applyAlignment="1" applyProtection="1">
      <alignment horizontal="justify" vertical="top" wrapText="1"/>
    </xf>
    <xf numFmtId="0" fontId="6" fillId="0" borderId="0" xfId="30" applyNumberFormat="1" applyFont="1" applyAlignment="1" applyProtection="1">
      <alignment horizontal="justify" vertical="top" wrapText="1"/>
    </xf>
    <xf numFmtId="0" fontId="6" fillId="0" borderId="0" xfId="30" quotePrefix="1" applyNumberFormat="1" applyFont="1" applyAlignment="1" applyProtection="1">
      <alignment horizontal="left" vertical="top" wrapText="1" indent="1"/>
    </xf>
    <xf numFmtId="0" fontId="5" fillId="0" borderId="0" xfId="30" applyNumberFormat="1" applyFont="1" applyAlignment="1" applyProtection="1">
      <alignment horizontal="center" vertical="top" wrapText="1"/>
    </xf>
    <xf numFmtId="0" fontId="5" fillId="0" borderId="4" xfId="0" applyNumberFormat="1" applyFont="1" applyBorder="1" applyAlignment="1" applyProtection="1">
      <alignment horizontal="center" vertical="center"/>
    </xf>
    <xf numFmtId="0" fontId="6" fillId="0" borderId="0" xfId="43" quotePrefix="1" applyNumberFormat="1" applyFont="1" applyFill="1" applyBorder="1" applyAlignment="1" applyProtection="1">
      <alignment horizontal="justify" vertical="top" wrapText="1"/>
    </xf>
    <xf numFmtId="0" fontId="6" fillId="0" borderId="0" xfId="0" quotePrefix="1" applyNumberFormat="1" applyFont="1" applyAlignment="1" applyProtection="1">
      <alignment horizontal="left" vertical="top" wrapText="1" indent="1"/>
    </xf>
    <xf numFmtId="0" fontId="5" fillId="0" borderId="0" xfId="0" quotePrefix="1" applyNumberFormat="1" applyFont="1" applyAlignment="1" applyProtection="1">
      <alignment horizontal="left" vertical="top" wrapText="1" indent="1"/>
    </xf>
    <xf numFmtId="0" fontId="6" fillId="0" borderId="0" xfId="0" applyNumberFormat="1" applyFont="1" applyAlignment="1" applyProtection="1">
      <alignment horizontal="left" vertical="top" wrapText="1" indent="1"/>
    </xf>
    <xf numFmtId="0" fontId="6" fillId="0" borderId="0" xfId="43" quotePrefix="1" applyNumberFormat="1" applyFont="1" applyFill="1" applyBorder="1" applyAlignment="1" applyProtection="1">
      <alignment horizontal="left" vertical="top" wrapText="1" indent="1"/>
    </xf>
    <xf numFmtId="164" fontId="17" fillId="0" borderId="6" xfId="0" applyNumberFormat="1" applyFont="1" applyBorder="1" applyAlignment="1" applyProtection="1">
      <alignment horizontal="left" vertical="top"/>
    </xf>
    <xf numFmtId="0" fontId="13" fillId="0" borderId="0" xfId="0" applyNumberFormat="1" applyFont="1" applyProtection="1"/>
    <xf numFmtId="0" fontId="15" fillId="0" borderId="0" xfId="0" applyNumberFormat="1" applyFont="1" applyProtection="1"/>
    <xf numFmtId="0" fontId="14" fillId="0" borderId="0" xfId="0" applyNumberFormat="1" applyFont="1" applyAlignment="1" applyProtection="1">
      <alignment horizontal="right" vertical="top"/>
    </xf>
    <xf numFmtId="0" fontId="14" fillId="0" borderId="0" xfId="0" applyNumberFormat="1" applyFont="1" applyAlignment="1" applyProtection="1">
      <alignment horizontal="left" vertical="top"/>
    </xf>
    <xf numFmtId="0" fontId="0" fillId="0" borderId="0" xfId="0" applyNumberFormat="1" applyProtection="1"/>
    <xf numFmtId="0" fontId="12" fillId="0" borderId="0" xfId="0" applyNumberFormat="1" applyFont="1" applyProtection="1"/>
    <xf numFmtId="0" fontId="13" fillId="0" borderId="0" xfId="0" applyNumberFormat="1" applyFont="1" applyAlignment="1" applyProtection="1">
      <alignment horizontal="left"/>
    </xf>
    <xf numFmtId="0" fontId="13" fillId="0" borderId="0" xfId="0" applyNumberFormat="1" applyFont="1" applyAlignment="1" applyProtection="1">
      <alignment horizontal="right"/>
    </xf>
    <xf numFmtId="0" fontId="12" fillId="0" borderId="0" xfId="0" applyNumberFormat="1" applyFont="1" applyAlignment="1" applyProtection="1">
      <alignment horizontal="right"/>
    </xf>
    <xf numFmtId="0" fontId="13" fillId="0" borderId="0" xfId="0" applyNumberFormat="1" applyFont="1" applyAlignment="1" applyProtection="1">
      <alignment vertical="center"/>
    </xf>
    <xf numFmtId="0" fontId="8" fillId="0" borderId="0" xfId="0" applyNumberFormat="1" applyFont="1" applyProtection="1"/>
    <xf numFmtId="0" fontId="13" fillId="0" borderId="0" xfId="0" applyNumberFormat="1" applyFont="1" applyAlignment="1" applyProtection="1">
      <alignment horizontal="center" vertical="center"/>
    </xf>
    <xf numFmtId="0" fontId="13" fillId="0" borderId="0" xfId="0" applyNumberFormat="1" applyFont="1" applyAlignment="1" applyProtection="1">
      <alignment vertical="top"/>
    </xf>
    <xf numFmtId="0" fontId="7" fillId="0" borderId="0" xfId="0" applyNumberFormat="1" applyFont="1" applyAlignment="1" applyProtection="1"/>
    <xf numFmtId="0" fontId="7" fillId="0" borderId="0" xfId="0" applyNumberFormat="1" applyFont="1" applyProtection="1"/>
    <xf numFmtId="164" fontId="17" fillId="0" borderId="7" xfId="0" applyNumberFormat="1" applyFont="1" applyBorder="1" applyAlignment="1" applyProtection="1">
      <alignment horizontal="left" vertical="top"/>
    </xf>
    <xf numFmtId="0" fontId="17" fillId="0" borderId="5" xfId="0" applyNumberFormat="1" applyFont="1" applyBorder="1" applyAlignment="1" applyProtection="1">
      <alignment horizontal="justify" vertical="top"/>
    </xf>
    <xf numFmtId="164" fontId="17" fillId="0" borderId="9" xfId="0" applyNumberFormat="1" applyFont="1" applyBorder="1" applyAlignment="1" applyProtection="1">
      <alignment horizontal="left" vertical="top"/>
    </xf>
    <xf numFmtId="44" fontId="6" fillId="0" borderId="0" xfId="0" applyNumberFormat="1" applyFont="1" applyAlignment="1" applyProtection="1">
      <alignment horizontal="center" vertical="center" shrinkToFit="1"/>
    </xf>
    <xf numFmtId="44" fontId="30" fillId="3" borderId="0" xfId="0" applyNumberFormat="1" applyFont="1" applyFill="1" applyBorder="1" applyAlignment="1" applyProtection="1">
      <alignment horizontal="center" shrinkToFit="1"/>
    </xf>
    <xf numFmtId="44" fontId="30" fillId="0" borderId="0" xfId="0" applyNumberFormat="1" applyFont="1" applyAlignment="1" applyProtection="1">
      <alignment horizontal="center" vertical="center" shrinkToFit="1"/>
    </xf>
    <xf numFmtId="44" fontId="29" fillId="0" borderId="0" xfId="0" applyNumberFormat="1" applyFont="1" applyAlignment="1" applyProtection="1">
      <alignment horizontal="center" shrinkToFit="1"/>
    </xf>
    <xf numFmtId="0" fontId="6" fillId="0" borderId="0" xfId="43" applyNumberFormat="1" applyFont="1" applyFill="1" applyBorder="1" applyAlignment="1" applyProtection="1">
      <alignment horizontal="left" vertical="top" wrapText="1" indent="1"/>
    </xf>
    <xf numFmtId="0" fontId="19" fillId="0" borderId="0" xfId="0" quotePrefix="1" applyNumberFormat="1" applyFont="1" applyFill="1" applyAlignment="1" applyProtection="1">
      <alignment horizontal="justify" vertical="top" wrapText="1"/>
    </xf>
    <xf numFmtId="4" fontId="19" fillId="0" borderId="0" xfId="0" applyNumberFormat="1" applyFont="1" applyFill="1" applyAlignment="1" applyProtection="1">
      <alignment horizontal="center" vertical="center" shrinkToFit="1"/>
    </xf>
    <xf numFmtId="0" fontId="5" fillId="0" borderId="0" xfId="0" quotePrefix="1" applyNumberFormat="1" applyFont="1" applyFill="1" applyAlignment="1" applyProtection="1">
      <alignment horizontal="justify" vertical="top" wrapText="1"/>
    </xf>
    <xf numFmtId="164" fontId="5" fillId="0" borderId="0" xfId="0" applyNumberFormat="1" applyFont="1" applyBorder="1" applyAlignment="1" applyProtection="1">
      <alignment horizontal="right" vertical="top"/>
    </xf>
    <xf numFmtId="0" fontId="6" fillId="0" borderId="0" xfId="0" applyNumberFormat="1" applyFont="1" applyBorder="1" applyAlignment="1" applyProtection="1">
      <alignment horizontal="center" vertical="center" shrinkToFit="1"/>
    </xf>
    <xf numFmtId="4" fontId="6" fillId="0" borderId="0" xfId="0" applyNumberFormat="1" applyFont="1" applyFill="1" applyBorder="1" applyAlignment="1" applyProtection="1">
      <alignment horizontal="center" vertical="center" shrinkToFit="1"/>
    </xf>
    <xf numFmtId="4" fontId="6" fillId="0" borderId="0" xfId="0" applyNumberFormat="1" applyFont="1" applyBorder="1" applyAlignment="1" applyProtection="1">
      <alignment horizontal="center" vertical="center" shrinkToFit="1"/>
      <protection locked="0"/>
    </xf>
    <xf numFmtId="43" fontId="6" fillId="0" borderId="0" xfId="0" applyNumberFormat="1" applyFont="1" applyBorder="1" applyAlignment="1" applyProtection="1">
      <alignment horizontal="center" vertical="center" shrinkToFit="1"/>
    </xf>
    <xf numFmtId="0" fontId="6" fillId="0" borderId="0" xfId="0" applyFont="1" applyBorder="1" applyAlignment="1" applyProtection="1"/>
    <xf numFmtId="164" fontId="5" fillId="0" borderId="0" xfId="0" applyNumberFormat="1" applyFont="1" applyFill="1" applyBorder="1" applyAlignment="1" applyProtection="1">
      <alignment horizontal="right" vertical="top"/>
    </xf>
    <xf numFmtId="0" fontId="6" fillId="0" borderId="0" xfId="0" quotePrefix="1" applyNumberFormat="1" applyFont="1" applyFill="1" applyBorder="1" applyAlignment="1" applyProtection="1">
      <alignment horizontal="justify" vertical="top" wrapText="1"/>
    </xf>
    <xf numFmtId="0" fontId="6" fillId="0" borderId="0" xfId="0" applyFont="1" applyFill="1" applyAlignment="1" applyProtection="1">
      <alignment horizontal="center"/>
    </xf>
    <xf numFmtId="0" fontId="6" fillId="0" borderId="0" xfId="0" applyNumberFormat="1" applyFont="1" applyBorder="1" applyAlignment="1" applyProtection="1">
      <alignment horizontal="justify" vertical="top" wrapText="1"/>
    </xf>
    <xf numFmtId="4" fontId="6" fillId="0" borderId="0" xfId="0" applyNumberFormat="1" applyFont="1" applyBorder="1" applyAlignment="1" applyProtection="1">
      <alignment horizontal="center" vertical="center" shrinkToFit="1"/>
    </xf>
    <xf numFmtId="43" fontId="5" fillId="0" borderId="0" xfId="0" applyNumberFormat="1" applyFont="1" applyBorder="1" applyAlignment="1" applyProtection="1">
      <alignment horizontal="center" vertical="center" shrinkToFit="1"/>
    </xf>
    <xf numFmtId="0" fontId="6" fillId="0" borderId="0" xfId="0" quotePrefix="1" applyNumberFormat="1" applyFont="1" applyBorder="1" applyAlignment="1" applyProtection="1">
      <alignment horizontal="justify" vertical="top" wrapText="1"/>
    </xf>
    <xf numFmtId="43" fontId="30" fillId="0" borderId="1" xfId="0" applyNumberFormat="1" applyFont="1" applyBorder="1" applyAlignment="1" applyProtection="1">
      <alignment horizontal="center" shrinkToFit="1"/>
    </xf>
    <xf numFmtId="43" fontId="30" fillId="0" borderId="0" xfId="0" applyNumberFormat="1" applyFont="1" applyBorder="1" applyAlignment="1" applyProtection="1">
      <alignment horizontal="center" shrinkToFit="1"/>
    </xf>
    <xf numFmtId="43" fontId="5" fillId="0" borderId="10" xfId="0" applyNumberFormat="1" applyFont="1" applyBorder="1" applyAlignment="1" applyProtection="1">
      <alignment horizontal="center" shrinkToFit="1"/>
    </xf>
    <xf numFmtId="43" fontId="30" fillId="0" borderId="2" xfId="0" applyNumberFormat="1" applyFont="1" applyBorder="1" applyAlignment="1" applyProtection="1">
      <alignment horizontal="center" shrinkToFit="1"/>
    </xf>
    <xf numFmtId="43" fontId="6" fillId="0" borderId="10" xfId="0" applyNumberFormat="1" applyFont="1" applyBorder="1" applyAlignment="1" applyProtection="1">
      <alignment horizontal="center" shrinkToFit="1"/>
    </xf>
    <xf numFmtId="43" fontId="29" fillId="0" borderId="3" xfId="0" applyNumberFormat="1" applyFont="1" applyBorder="1" applyAlignment="1" applyProtection="1">
      <alignment horizontal="center" shrinkToFit="1"/>
    </xf>
    <xf numFmtId="43" fontId="5" fillId="0" borderId="8" xfId="0" applyNumberFormat="1" applyFont="1" applyBorder="1" applyAlignment="1" applyProtection="1">
      <alignment horizontal="center" shrinkToFit="1"/>
    </xf>
    <xf numFmtId="0" fontId="19" fillId="0" borderId="0" xfId="0" applyNumberFormat="1" applyFont="1" applyFill="1" applyAlignment="1" applyProtection="1">
      <alignment horizontal="justify" vertical="top" wrapText="1"/>
    </xf>
    <xf numFmtId="0" fontId="6" fillId="0" borderId="0" xfId="0" quotePrefix="1" applyNumberFormat="1" applyFont="1" applyFill="1" applyAlignment="1" applyProtection="1">
      <alignment horizontal="left" vertical="top" wrapText="1" indent="1"/>
    </xf>
    <xf numFmtId="0" fontId="32" fillId="0" borderId="0" xfId="0" applyFont="1" applyProtection="1"/>
    <xf numFmtId="0" fontId="12" fillId="0" borderId="0" xfId="0" applyFont="1" applyProtection="1"/>
    <xf numFmtId="0" fontId="14" fillId="0" borderId="0" xfId="0" applyFont="1" applyProtection="1"/>
    <xf numFmtId="164" fontId="25" fillId="0" borderId="0" xfId="0" applyNumberFormat="1" applyFont="1" applyFill="1" applyAlignment="1" applyProtection="1">
      <alignment horizontal="right" vertical="top"/>
    </xf>
    <xf numFmtId="0" fontId="14" fillId="0" borderId="0" xfId="0" applyFont="1" applyAlignment="1" applyProtection="1">
      <alignment horizontal="center" vertical="center"/>
    </xf>
    <xf numFmtId="0" fontId="32" fillId="0" borderId="0" xfId="0" applyFont="1" applyAlignment="1" applyProtection="1">
      <alignment horizontal="center" vertical="center"/>
    </xf>
    <xf numFmtId="0" fontId="15" fillId="0" borderId="0" xfId="0" applyFont="1" applyAlignment="1" applyProtection="1">
      <alignment horizontal="center" vertical="center" wrapText="1"/>
    </xf>
    <xf numFmtId="0" fontId="13" fillId="0" borderId="0" xfId="0" applyFont="1" applyAlignment="1" applyProtection="1">
      <alignment horizontal="center" vertical="center"/>
    </xf>
    <xf numFmtId="0" fontId="12" fillId="0" borderId="0" xfId="0" applyFont="1" applyAlignment="1" applyProtection="1">
      <alignment horizontal="center" vertical="center"/>
    </xf>
    <xf numFmtId="0" fontId="13" fillId="0" borderId="0" xfId="0" applyFont="1" applyAlignment="1" applyProtection="1">
      <alignment horizontal="center" vertical="center" wrapText="1"/>
    </xf>
    <xf numFmtId="0" fontId="13" fillId="0" borderId="0" xfId="0" applyFont="1" applyBorder="1" applyAlignment="1" applyProtection="1">
      <alignment horizontal="center" vertical="center"/>
    </xf>
    <xf numFmtId="0" fontId="14" fillId="0" borderId="0" xfId="0" applyFont="1" applyAlignment="1" applyProtection="1">
      <alignment horizontal="left" vertical="center"/>
    </xf>
    <xf numFmtId="0" fontId="13" fillId="0" borderId="0" xfId="0" applyFont="1" applyAlignment="1" applyProtection="1">
      <alignment horizontal="left" vertical="center"/>
    </xf>
    <xf numFmtId="0" fontId="12" fillId="0" borderId="0" xfId="0" applyFont="1" applyAlignment="1" applyProtection="1">
      <alignment horizontal="left" vertical="center"/>
    </xf>
    <xf numFmtId="0" fontId="32" fillId="0" borderId="0" xfId="0" applyFont="1" applyAlignment="1" applyProtection="1">
      <alignment horizontal="left" vertical="center"/>
    </xf>
    <xf numFmtId="4" fontId="19" fillId="0" borderId="0" xfId="0" applyNumberFormat="1" applyFont="1" applyFill="1" applyAlignment="1" applyProtection="1">
      <alignment horizontal="center" vertical="center" shrinkToFit="1"/>
      <protection locked="0"/>
    </xf>
    <xf numFmtId="43" fontId="19" fillId="0" borderId="0" xfId="0" applyNumberFormat="1" applyFont="1" applyFill="1" applyAlignment="1" applyProtection="1">
      <alignment horizontal="center" vertical="center" shrinkToFit="1"/>
    </xf>
    <xf numFmtId="0" fontId="15" fillId="0" borderId="0" xfId="0" applyFont="1" applyAlignment="1" applyProtection="1">
      <alignment horizontal="center" vertical="center"/>
    </xf>
    <xf numFmtId="0" fontId="6" fillId="0" borderId="0" xfId="0" applyFont="1" applyBorder="1" applyAlignment="1" applyProtection="1">
      <alignment horizontal="center" vertical="center" shrinkToFit="1"/>
    </xf>
    <xf numFmtId="164" fontId="33" fillId="0" borderId="0" xfId="0" applyNumberFormat="1" applyFont="1" applyAlignment="1" applyProtection="1">
      <alignment horizontal="right" vertical="top"/>
    </xf>
    <xf numFmtId="0" fontId="33" fillId="0" borderId="0" xfId="0" applyNumberFormat="1" applyFont="1" applyAlignment="1" applyProtection="1">
      <alignment horizontal="justify" vertical="top" wrapText="1"/>
    </xf>
    <xf numFmtId="0" fontId="33" fillId="0" borderId="0" xfId="0" applyNumberFormat="1" applyFont="1" applyAlignment="1" applyProtection="1">
      <alignment horizontal="center" vertical="center" shrinkToFit="1"/>
    </xf>
    <xf numFmtId="4" fontId="33" fillId="0" borderId="0" xfId="0" applyNumberFormat="1" applyFont="1" applyAlignment="1" applyProtection="1">
      <alignment horizontal="center" vertical="center" shrinkToFit="1"/>
    </xf>
    <xf numFmtId="4" fontId="33" fillId="0" borderId="0" xfId="0" applyNumberFormat="1" applyFont="1" applyAlignment="1" applyProtection="1">
      <alignment horizontal="center" vertical="center" shrinkToFit="1"/>
      <protection locked="0"/>
    </xf>
    <xf numFmtId="43" fontId="33" fillId="0" borderId="0" xfId="0" applyNumberFormat="1" applyFont="1" applyAlignment="1" applyProtection="1">
      <alignment horizontal="center" vertical="center" shrinkToFit="1"/>
    </xf>
    <xf numFmtId="164" fontId="34" fillId="0" borderId="0" xfId="0" applyNumberFormat="1" applyFont="1" applyAlignment="1" applyProtection="1">
      <alignment horizontal="center" vertical="center" shrinkToFit="1"/>
      <protection locked="0"/>
    </xf>
    <xf numFmtId="0" fontId="6" fillId="0" borderId="0" xfId="30" quotePrefix="1" applyFont="1" applyAlignment="1" applyProtection="1">
      <alignment horizontal="left" vertical="top" wrapText="1" indent="1"/>
    </xf>
    <xf numFmtId="0" fontId="6" fillId="0" borderId="0" xfId="0" applyNumberFormat="1" applyFont="1" applyAlignment="1" applyProtection="1">
      <alignment horizontal="left" vertical="top" wrapText="1"/>
    </xf>
    <xf numFmtId="0" fontId="19" fillId="0" borderId="0" xfId="0" applyNumberFormat="1" applyFont="1" applyFill="1" applyAlignment="1" applyProtection="1">
      <alignment horizontal="center" vertical="center" shrinkToFit="1"/>
    </xf>
    <xf numFmtId="0" fontId="19" fillId="0" borderId="0" xfId="0" applyNumberFormat="1" applyFont="1" applyAlignment="1" applyProtection="1">
      <alignment horizontal="center" vertical="center" shrinkToFit="1"/>
    </xf>
    <xf numFmtId="4" fontId="19" fillId="0" borderId="0" xfId="0" applyNumberFormat="1" applyFont="1" applyAlignment="1" applyProtection="1">
      <alignment horizontal="center" vertical="center" shrinkToFit="1"/>
      <protection locked="0"/>
    </xf>
    <xf numFmtId="43" fontId="19" fillId="0" borderId="0" xfId="0" applyNumberFormat="1" applyFont="1" applyAlignment="1" applyProtection="1">
      <alignment horizontal="center" vertical="center" shrinkToFit="1"/>
    </xf>
    <xf numFmtId="43" fontId="6" fillId="0" borderId="0" xfId="0" applyNumberFormat="1" applyFont="1" applyAlignment="1" applyProtection="1">
      <alignment horizontal="center" vertical="center" wrapText="1" shrinkToFit="1"/>
    </xf>
    <xf numFmtId="43" fontId="6" fillId="0" borderId="0" xfId="0" applyNumberFormat="1" applyFont="1" applyFill="1" applyAlignment="1" applyProtection="1">
      <alignment horizontal="center" vertical="center" shrinkToFit="1"/>
      <protection locked="0"/>
    </xf>
    <xf numFmtId="0" fontId="29" fillId="0" borderId="0" xfId="0" quotePrefix="1" applyNumberFormat="1" applyFont="1" applyBorder="1" applyAlignment="1">
      <alignment horizontal="justify" vertical="top" wrapText="1"/>
    </xf>
    <xf numFmtId="0" fontId="6" fillId="0" borderId="0" xfId="0" applyNumberFormat="1" applyFont="1" applyFill="1" applyBorder="1" applyAlignment="1" applyProtection="1">
      <alignment horizontal="justify" vertical="top" wrapText="1"/>
    </xf>
    <xf numFmtId="0" fontId="6" fillId="0" borderId="0" xfId="0" applyNumberFormat="1" applyFont="1" applyFill="1" applyBorder="1" applyAlignment="1" applyProtection="1">
      <alignment horizontal="center"/>
    </xf>
    <xf numFmtId="4" fontId="6" fillId="0" borderId="0" xfId="0" applyNumberFormat="1" applyFont="1" applyFill="1" applyBorder="1" applyAlignment="1" applyProtection="1">
      <alignment horizontal="center" shrinkToFit="1"/>
    </xf>
    <xf numFmtId="4" fontId="6" fillId="0" borderId="0" xfId="44" applyNumberFormat="1" applyFont="1" applyFill="1" applyBorder="1" applyAlignment="1" applyProtection="1">
      <alignment horizontal="center" shrinkToFit="1"/>
      <protection locked="0"/>
    </xf>
    <xf numFmtId="43" fontId="6" fillId="0" borderId="0" xfId="44" applyNumberFormat="1" applyFont="1" applyFill="1" applyBorder="1" applyAlignment="1" applyProtection="1">
      <alignment horizontal="center" shrinkToFit="1"/>
    </xf>
    <xf numFmtId="4" fontId="6" fillId="0" borderId="0" xfId="48" applyNumberFormat="1" applyFont="1" applyFill="1" applyAlignment="1" applyProtection="1">
      <alignment horizontal="center" vertical="center" shrinkToFit="1"/>
    </xf>
    <xf numFmtId="43" fontId="6" fillId="0" borderId="0" xfId="0" applyNumberFormat="1" applyFont="1" applyAlignment="1" applyProtection="1">
      <alignment horizontal="center" vertical="center" shrinkToFit="1"/>
      <protection locked="0"/>
    </xf>
    <xf numFmtId="0" fontId="6" fillId="0" borderId="1" xfId="0" applyNumberFormat="1" applyFont="1" applyFill="1" applyBorder="1" applyAlignment="1" applyProtection="1">
      <alignment horizontal="justify" vertical="top" wrapText="1"/>
    </xf>
    <xf numFmtId="0" fontId="6" fillId="0" borderId="0" xfId="0" applyNumberFormat="1" applyFont="1" applyBorder="1" applyAlignment="1" applyProtection="1">
      <alignment horizontal="justify" vertical="top"/>
    </xf>
    <xf numFmtId="166" fontId="6" fillId="0" borderId="0" xfId="0" applyNumberFormat="1" applyFont="1" applyFill="1" applyAlignment="1" applyProtection="1">
      <alignment horizontal="center" vertical="center"/>
    </xf>
    <xf numFmtId="43" fontId="5" fillId="0" borderId="0" xfId="0" applyNumberFormat="1" applyFont="1" applyFill="1" applyAlignment="1" applyProtection="1">
      <alignment horizontal="center" vertical="center"/>
    </xf>
    <xf numFmtId="43" fontId="6" fillId="0" borderId="0" xfId="0" applyNumberFormat="1" applyFont="1" applyFill="1" applyAlignment="1" applyProtection="1">
      <alignment horizontal="center" vertical="center"/>
    </xf>
    <xf numFmtId="0" fontId="6" fillId="0" borderId="0" xfId="0" applyNumberFormat="1" applyFont="1" applyFill="1" applyAlignment="1" applyProtection="1">
      <alignment horizontal="left" vertical="top" wrapText="1" indent="1"/>
    </xf>
    <xf numFmtId="0" fontId="6" fillId="0" borderId="0" xfId="48" applyNumberFormat="1" applyFont="1" applyFill="1" applyAlignment="1" applyProtection="1">
      <alignment horizontal="justify" vertical="top" wrapText="1"/>
    </xf>
    <xf numFmtId="0" fontId="15" fillId="0" borderId="0" xfId="0" applyFont="1" applyAlignment="1" applyProtection="1">
      <alignment horizontal="center" vertical="center"/>
    </xf>
    <xf numFmtId="0" fontId="13" fillId="0" borderId="0" xfId="0" applyFont="1" applyBorder="1" applyAlignment="1" applyProtection="1">
      <alignment horizontal="center" vertical="center" wrapText="1"/>
    </xf>
  </cellXfs>
  <cellStyles count="55">
    <cellStyle name="Comma 2" xfId="1"/>
    <cellStyle name="Comma 2 2" xfId="44"/>
    <cellStyle name="Comma 3" xfId="2"/>
    <cellStyle name="Comma 4" xfId="46"/>
    <cellStyle name="Comma 5" xfId="50"/>
    <cellStyle name="Comma 6" xfId="54"/>
    <cellStyle name="Currency" xfId="3" builtinId="4"/>
    <cellStyle name="Currency 2" xfId="53"/>
    <cellStyle name="Default_Uvuceni" xfId="47"/>
    <cellStyle name="Excel Built-in Normal" xfId="4"/>
    <cellStyle name="Normal" xfId="0" builtinId="0"/>
    <cellStyle name="Normal 10" xfId="5"/>
    <cellStyle name="Normal 10 2" xfId="48"/>
    <cellStyle name="Normal 11" xfId="6"/>
    <cellStyle name="Normal 11 2" xfId="7"/>
    <cellStyle name="Normal 12" xfId="8"/>
    <cellStyle name="Normal 13" xfId="9"/>
    <cellStyle name="Normal 14" xfId="10"/>
    <cellStyle name="Normal 15" xfId="11"/>
    <cellStyle name="Normal 16" xfId="12"/>
    <cellStyle name="Normal 17" xfId="13"/>
    <cellStyle name="Normal 18" xfId="14"/>
    <cellStyle name="Normal 19" xfId="15"/>
    <cellStyle name="Normal 2" xfId="16"/>
    <cellStyle name="Normal 2 2" xfId="39"/>
    <cellStyle name="Normal 20" xfId="17"/>
    <cellStyle name="Normal 21" xfId="18"/>
    <cellStyle name="Normal 22" xfId="19"/>
    <cellStyle name="Normal 23" xfId="20"/>
    <cellStyle name="Normal 24" xfId="21"/>
    <cellStyle name="Normal 25" xfId="22"/>
    <cellStyle name="Normal 26" xfId="23"/>
    <cellStyle name="Normal 27" xfId="24"/>
    <cellStyle name="Normal 28" xfId="25"/>
    <cellStyle name="Normal 29" xfId="26"/>
    <cellStyle name="Normal 3" xfId="27"/>
    <cellStyle name="Normal 3 2" xfId="43"/>
    <cellStyle name="Normal 30" xfId="28"/>
    <cellStyle name="Normal 31" xfId="29"/>
    <cellStyle name="Normal 4" xfId="30"/>
    <cellStyle name="Normal 4 2 2" xfId="31"/>
    <cellStyle name="Normal 5" xfId="32"/>
    <cellStyle name="Normal 6" xfId="33"/>
    <cellStyle name="Normal 7" xfId="34"/>
    <cellStyle name="Normal 8" xfId="35"/>
    <cellStyle name="Normal 9" xfId="36"/>
    <cellStyle name="Normalno 2" xfId="37"/>
    <cellStyle name="Normalno 3" xfId="42"/>
    <cellStyle name="Normalno 4" xfId="41"/>
    <cellStyle name="Obično 2" xfId="38"/>
    <cellStyle name="Obično 2 2" xfId="49"/>
    <cellStyle name="Obično_List1" xfId="51"/>
    <cellStyle name="Style 1" xfId="52"/>
    <cellStyle name="Zarez 2" xfId="40"/>
    <cellStyle name="Zarez 3" xfId="45"/>
  </cellStyles>
  <dxfs count="0"/>
  <tableStyles count="0" defaultTableStyle="TableStyleMedium2" defaultPivotStyle="PivotStyleLight16"/>
  <colors>
    <mruColors>
      <color rgb="FF969696"/>
      <color rgb="FFEAEAEA"/>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0</xdr:col>
      <xdr:colOff>5000626</xdr:colOff>
      <xdr:row>33</xdr:row>
      <xdr:rowOff>66896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21602700"/>
          <a:ext cx="5000626" cy="24671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4"/>
  <sheetViews>
    <sheetView tabSelected="1" view="pageBreakPreview" zoomScaleNormal="100" zoomScaleSheetLayoutView="100" zoomScalePageLayoutView="85" workbookViewId="0">
      <selection activeCell="C24" sqref="C24"/>
    </sheetView>
  </sheetViews>
  <sheetFormatPr defaultColWidth="9.140625" defaultRowHeight="23.25" customHeight="1" x14ac:dyDescent="0.2"/>
  <cols>
    <col min="1" max="1" width="11.140625" style="202" customWidth="1"/>
    <col min="2" max="10" width="11.140625" style="193" customWidth="1"/>
    <col min="11" max="16384" width="9.140625" style="188"/>
  </cols>
  <sheetData>
    <row r="1" spans="1:10" ht="23.25" customHeight="1" x14ac:dyDescent="0.2">
      <c r="A1" s="199"/>
      <c r="B1" s="205"/>
      <c r="C1" s="192"/>
    </row>
    <row r="2" spans="1:10" ht="23.25" customHeight="1" x14ac:dyDescent="0.2">
      <c r="A2" s="199"/>
      <c r="B2" s="205"/>
      <c r="C2" s="192"/>
      <c r="D2" s="194"/>
      <c r="E2" s="194"/>
      <c r="F2" s="194"/>
    </row>
    <row r="3" spans="1:10" s="189" customFormat="1" ht="23.25" customHeight="1" x14ac:dyDescent="0.3">
      <c r="A3" s="200" t="s">
        <v>23</v>
      </c>
      <c r="B3" s="195"/>
      <c r="C3" s="195"/>
      <c r="D3" s="195"/>
      <c r="E3" s="196"/>
      <c r="F3" s="196"/>
      <c r="G3" s="196"/>
      <c r="H3" s="196"/>
      <c r="I3" s="196"/>
      <c r="J3" s="196"/>
    </row>
    <row r="4" spans="1:10" s="189" customFormat="1" ht="23.25" customHeight="1" x14ac:dyDescent="0.3">
      <c r="A4" s="200" t="s">
        <v>281</v>
      </c>
      <c r="B4" s="197"/>
      <c r="C4" s="197"/>
      <c r="D4" s="197"/>
      <c r="E4" s="197"/>
      <c r="F4" s="197"/>
      <c r="G4" s="197"/>
      <c r="H4" s="197"/>
      <c r="I4" s="197"/>
      <c r="J4" s="196"/>
    </row>
    <row r="5" spans="1:10" s="189" customFormat="1" ht="23.25" customHeight="1" x14ac:dyDescent="0.3">
      <c r="A5" s="200" t="s">
        <v>282</v>
      </c>
      <c r="B5" s="197"/>
      <c r="C5" s="197"/>
      <c r="D5" s="197"/>
      <c r="E5" s="197"/>
      <c r="F5" s="197"/>
      <c r="G5" s="197"/>
      <c r="H5" s="197"/>
      <c r="I5" s="197"/>
      <c r="J5" s="196"/>
    </row>
    <row r="6" spans="1:10" s="189" customFormat="1" ht="23.25" customHeight="1" x14ac:dyDescent="0.3">
      <c r="A6" s="200" t="s">
        <v>283</v>
      </c>
      <c r="B6" s="197"/>
      <c r="C6" s="197"/>
      <c r="D6" s="197"/>
      <c r="E6" s="197"/>
      <c r="F6" s="197"/>
      <c r="G6" s="197"/>
      <c r="H6" s="197"/>
      <c r="I6" s="197"/>
      <c r="J6" s="196"/>
    </row>
    <row r="7" spans="1:10" s="189" customFormat="1" ht="23.25" customHeight="1" x14ac:dyDescent="0.3">
      <c r="A7" s="200"/>
      <c r="B7" s="197"/>
      <c r="C7" s="197"/>
      <c r="D7" s="197"/>
      <c r="E7" s="197"/>
      <c r="F7" s="197"/>
      <c r="G7" s="197"/>
      <c r="H7" s="197"/>
      <c r="I7" s="197"/>
      <c r="J7" s="196"/>
    </row>
    <row r="8" spans="1:10" s="189" customFormat="1" ht="23.25" customHeight="1" x14ac:dyDescent="0.3">
      <c r="A8" s="201"/>
      <c r="B8" s="195"/>
      <c r="C8" s="196"/>
      <c r="D8" s="196"/>
      <c r="E8" s="196"/>
      <c r="F8" s="196"/>
      <c r="G8" s="196"/>
      <c r="H8" s="196"/>
      <c r="I8" s="196"/>
      <c r="J8" s="196"/>
    </row>
    <row r="9" spans="1:10" s="189" customFormat="1" ht="23.25" customHeight="1" x14ac:dyDescent="0.3">
      <c r="A9" s="200" t="s">
        <v>24</v>
      </c>
      <c r="B9" s="195"/>
      <c r="C9" s="195"/>
      <c r="D9" s="195"/>
      <c r="E9" s="196"/>
      <c r="F9" s="196"/>
      <c r="G9" s="196"/>
      <c r="H9" s="196"/>
      <c r="I9" s="196"/>
      <c r="J9" s="196"/>
    </row>
    <row r="10" spans="1:10" s="189" customFormat="1" ht="23.25" customHeight="1" x14ac:dyDescent="0.3">
      <c r="A10" s="200" t="s">
        <v>284</v>
      </c>
      <c r="B10" s="197"/>
      <c r="C10" s="197"/>
      <c r="D10" s="197"/>
      <c r="E10" s="197"/>
      <c r="F10" s="197"/>
      <c r="G10" s="197"/>
      <c r="H10" s="197"/>
      <c r="I10" s="197"/>
      <c r="J10" s="196"/>
    </row>
    <row r="11" spans="1:10" s="189" customFormat="1" ht="23.25" customHeight="1" x14ac:dyDescent="0.3">
      <c r="A11" s="200" t="s">
        <v>285</v>
      </c>
      <c r="B11" s="197"/>
      <c r="C11" s="197"/>
      <c r="D11" s="197"/>
      <c r="E11" s="197"/>
      <c r="F11" s="197"/>
      <c r="G11" s="197"/>
      <c r="H11" s="197"/>
      <c r="I11" s="197"/>
      <c r="J11" s="196"/>
    </row>
    <row r="12" spans="1:10" s="189" customFormat="1" ht="23.25" customHeight="1" x14ac:dyDescent="0.3">
      <c r="A12" s="200"/>
      <c r="B12" s="197"/>
      <c r="C12" s="197"/>
      <c r="D12" s="197"/>
      <c r="E12" s="197"/>
      <c r="F12" s="197"/>
      <c r="G12" s="197"/>
      <c r="H12" s="197"/>
      <c r="I12" s="197"/>
      <c r="J12" s="196"/>
    </row>
    <row r="13" spans="1:10" s="189" customFormat="1" ht="23.25" customHeight="1" x14ac:dyDescent="0.3">
      <c r="A13" s="200"/>
      <c r="B13" s="197"/>
      <c r="C13" s="197"/>
      <c r="D13" s="197"/>
      <c r="E13" s="197"/>
      <c r="F13" s="197"/>
      <c r="G13" s="197"/>
      <c r="H13" s="197"/>
      <c r="I13" s="197"/>
      <c r="J13" s="196"/>
    </row>
    <row r="14" spans="1:10" ht="23.25" customHeight="1" x14ac:dyDescent="0.2">
      <c r="A14" s="199"/>
      <c r="B14" s="205"/>
      <c r="C14" s="192"/>
      <c r="D14" s="192"/>
      <c r="E14" s="192"/>
      <c r="F14" s="192"/>
    </row>
    <row r="15" spans="1:10" ht="23.25" customHeight="1" x14ac:dyDescent="0.2">
      <c r="A15" s="199"/>
      <c r="B15" s="205"/>
      <c r="C15" s="192"/>
      <c r="D15" s="205"/>
      <c r="E15" s="192"/>
      <c r="F15" s="192"/>
    </row>
    <row r="18" spans="1:10" s="190" customFormat="1" ht="23.25" customHeight="1" x14ac:dyDescent="0.35">
      <c r="A18" s="237" t="s">
        <v>6</v>
      </c>
      <c r="B18" s="237"/>
      <c r="C18" s="237"/>
      <c r="D18" s="237"/>
      <c r="E18" s="237"/>
      <c r="F18" s="237"/>
      <c r="G18" s="237"/>
      <c r="H18" s="237"/>
      <c r="I18" s="237"/>
      <c r="J18" s="237"/>
    </row>
    <row r="19" spans="1:10" s="189" customFormat="1" ht="23.25" customHeight="1" x14ac:dyDescent="0.3">
      <c r="A19" s="201"/>
      <c r="B19" s="195"/>
      <c r="C19" s="196"/>
      <c r="D19" s="196"/>
      <c r="E19" s="196"/>
      <c r="F19" s="196"/>
      <c r="G19" s="196"/>
      <c r="H19" s="196"/>
      <c r="I19" s="196"/>
      <c r="J19" s="196"/>
    </row>
    <row r="20" spans="1:10" s="189" customFormat="1" ht="23.25" customHeight="1" x14ac:dyDescent="0.3">
      <c r="A20" s="201"/>
      <c r="B20" s="195"/>
      <c r="C20" s="196"/>
      <c r="D20" s="196"/>
      <c r="E20" s="196"/>
      <c r="F20" s="196"/>
      <c r="G20" s="196"/>
      <c r="H20" s="196"/>
      <c r="I20" s="196"/>
      <c r="J20" s="196"/>
    </row>
    <row r="21" spans="1:10" s="189" customFormat="1" ht="23.25" customHeight="1" x14ac:dyDescent="0.3">
      <c r="A21" s="201"/>
      <c r="B21" s="195"/>
      <c r="C21" s="196"/>
      <c r="D21" s="198"/>
      <c r="E21" s="196"/>
      <c r="F21" s="196"/>
      <c r="G21" s="196"/>
      <c r="H21" s="196"/>
      <c r="I21" s="196"/>
      <c r="J21" s="196"/>
    </row>
    <row r="22" spans="1:10" s="189" customFormat="1" ht="23.25" customHeight="1" x14ac:dyDescent="0.3">
      <c r="A22" s="238" t="s">
        <v>286</v>
      </c>
      <c r="B22" s="238"/>
      <c r="C22" s="238"/>
      <c r="D22" s="238"/>
      <c r="E22" s="238"/>
      <c r="F22" s="238"/>
      <c r="G22" s="238"/>
      <c r="H22" s="238"/>
      <c r="I22" s="238"/>
      <c r="J22" s="238"/>
    </row>
    <row r="24" spans="1:10" s="189" customFormat="1" ht="23.25" customHeight="1" x14ac:dyDescent="0.3">
      <c r="A24" s="201"/>
      <c r="B24" s="196"/>
      <c r="C24" s="196"/>
      <c r="D24" s="195"/>
      <c r="E24" s="196"/>
      <c r="F24" s="196"/>
      <c r="G24" s="196"/>
      <c r="H24" s="196"/>
      <c r="I24" s="196"/>
      <c r="J24" s="196"/>
    </row>
  </sheetData>
  <sheetProtection selectLockedCells="1"/>
  <mergeCells count="2">
    <mergeCell ref="A18:J18"/>
    <mergeCell ref="A22:J22"/>
  </mergeCells>
  <pageMargins left="0.70866141732283472" right="0.70866141732283472" top="0.74803149606299213" bottom="0.74803149606299213" header="0.31496062992125984" footer="0.31496062992125984"/>
  <pageSetup paperSize="9" scale="80" fitToHeight="0" orientation="portrait" horizontalDpi="4294967293" r:id="rId1"/>
  <headerFooter differentFirst="1" scaleWithDoc="0">
    <oddFooter xml:space="preserve">&amp;R&amp;"Calibri,Regular"&amp;P-1/&amp;N-1  </oddFooter>
    <firstFooter>&amp;R&amp;"Calibri,Regular"ZAGREB, TRAVANJ 2024.</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39"/>
  <sheetViews>
    <sheetView showWhiteSpace="0" view="pageBreakPreview" zoomScaleNormal="100" zoomScaleSheetLayoutView="100" workbookViewId="0">
      <selection activeCell="C24" sqref="C24"/>
    </sheetView>
  </sheetViews>
  <sheetFormatPr defaultColWidth="9.140625" defaultRowHeight="12.75" x14ac:dyDescent="0.2"/>
  <cols>
    <col min="1" max="1" width="5.7109375" style="144" customWidth="1"/>
    <col min="2" max="2" width="99.7109375" style="144" customWidth="1"/>
    <col min="3" max="3" width="5.7109375" style="144" customWidth="1"/>
    <col min="4" max="5" width="11.7109375" style="144" customWidth="1"/>
    <col min="6" max="6" width="17.7109375" style="144" customWidth="1"/>
    <col min="7" max="16384" width="9.140625" style="144"/>
  </cols>
  <sheetData>
    <row r="1" spans="1:7" ht="23.25" x14ac:dyDescent="0.35">
      <c r="A1" s="140"/>
      <c r="B1" s="140" t="s">
        <v>17</v>
      </c>
      <c r="C1" s="140"/>
      <c r="D1" s="141"/>
      <c r="E1" s="142"/>
      <c r="F1" s="143"/>
    </row>
    <row r="2" spans="1:7" ht="23.25" x14ac:dyDescent="0.35">
      <c r="A2" s="140"/>
      <c r="B2" s="140"/>
      <c r="C2" s="140"/>
      <c r="D2" s="141"/>
      <c r="E2" s="142"/>
      <c r="F2" s="143"/>
    </row>
    <row r="3" spans="1:7" ht="23.25" x14ac:dyDescent="0.3">
      <c r="A3" s="140" t="s">
        <v>18</v>
      </c>
      <c r="B3" s="140" t="str">
        <f>'OPĆI OPIS'!A2</f>
        <v>OPĆI OPIS UZ TROŠKOVNIK</v>
      </c>
      <c r="C3" s="140"/>
      <c r="E3" s="142"/>
      <c r="F3" s="143"/>
    </row>
    <row r="4" spans="1:7" ht="23.25" x14ac:dyDescent="0.3">
      <c r="A4" s="140"/>
      <c r="B4" s="140"/>
      <c r="C4" s="140"/>
      <c r="E4" s="142"/>
      <c r="F4" s="143"/>
    </row>
    <row r="5" spans="1:7" ht="23.25" x14ac:dyDescent="0.3">
      <c r="A5" s="140" t="s">
        <v>18</v>
      </c>
      <c r="B5" s="140" t="str">
        <f>'OPĆI UVJETI_GRAĐ'!A2</f>
        <v>OPĆI UVJETI GRAĐEVINSKO - OBRTNIČKIH RADOVA</v>
      </c>
      <c r="C5" s="140"/>
      <c r="E5" s="142"/>
      <c r="F5" s="143"/>
    </row>
    <row r="6" spans="1:7" ht="23.25" x14ac:dyDescent="0.3">
      <c r="A6" s="140"/>
      <c r="B6" s="140"/>
      <c r="C6" s="140"/>
      <c r="E6" s="142"/>
      <c r="F6" s="143"/>
    </row>
    <row r="7" spans="1:7" s="145" customFormat="1" ht="18.75" x14ac:dyDescent="0.3">
      <c r="A7" s="140" t="str">
        <f>'A_GRAĐ-OBRT'!A7</f>
        <v>A.</v>
      </c>
      <c r="B7" s="140" t="str">
        <f>'A_GRAĐ-OBRT'!B7</f>
        <v>GRAĐEVINSKO - OBRTNIČKI RADOVI</v>
      </c>
      <c r="C7" s="140"/>
      <c r="E7" s="140"/>
      <c r="F7" s="140"/>
    </row>
    <row r="8" spans="1:7" ht="23.25" x14ac:dyDescent="0.3">
      <c r="A8" s="140"/>
      <c r="B8" s="140"/>
      <c r="C8" s="140"/>
      <c r="E8" s="142"/>
      <c r="F8" s="143"/>
    </row>
    <row r="9" spans="1:7" s="145" customFormat="1" ht="18.75" x14ac:dyDescent="0.3">
      <c r="A9" s="140" t="str">
        <f>B_VIO!A7</f>
        <v>B.</v>
      </c>
      <c r="B9" s="140" t="str">
        <f>B_VIO!B7</f>
        <v>VODOVOD I ODVODNJA</v>
      </c>
      <c r="C9" s="140"/>
      <c r="E9" s="140"/>
      <c r="F9" s="140"/>
    </row>
    <row r="10" spans="1:7" s="145" customFormat="1" ht="18.75" x14ac:dyDescent="0.3">
      <c r="A10" s="140"/>
      <c r="B10" s="140"/>
      <c r="C10" s="140"/>
      <c r="E10" s="140"/>
      <c r="F10" s="140"/>
    </row>
    <row r="11" spans="1:7" ht="23.25" x14ac:dyDescent="0.3">
      <c r="A11" s="140" t="s">
        <v>18</v>
      </c>
      <c r="B11" s="140" t="str">
        <f>'OPĆI UVJETI_ELE'!A2</f>
        <v>OPĆI UVJETI ELEKTROINSTALACIJA</v>
      </c>
      <c r="C11" s="140"/>
      <c r="E11" s="142"/>
      <c r="F11" s="143"/>
    </row>
    <row r="12" spans="1:7" s="145" customFormat="1" ht="18.75" x14ac:dyDescent="0.3">
      <c r="A12" s="140"/>
      <c r="B12" s="140"/>
      <c r="C12" s="140"/>
      <c r="E12" s="140"/>
      <c r="F12" s="140"/>
      <c r="G12" s="140"/>
    </row>
    <row r="13" spans="1:7" s="145" customFormat="1" ht="18.75" x14ac:dyDescent="0.3">
      <c r="A13" s="140" t="str">
        <f>C_ELEKTROINSTALACIJE!A7</f>
        <v>C.</v>
      </c>
      <c r="B13" s="140" t="str">
        <f>C_ELEKTROINSTALACIJE!B7</f>
        <v>ELEKTROINSTALACIJE</v>
      </c>
      <c r="C13" s="140"/>
      <c r="E13" s="140"/>
      <c r="F13" s="140"/>
      <c r="G13" s="140"/>
    </row>
    <row r="14" spans="1:7" s="145" customFormat="1" ht="18.75" x14ac:dyDescent="0.3">
      <c r="A14" s="140"/>
      <c r="B14" s="140"/>
      <c r="C14" s="140"/>
      <c r="E14" s="140"/>
      <c r="F14" s="140"/>
      <c r="G14" s="140"/>
    </row>
    <row r="15" spans="1:7" s="145" customFormat="1" ht="18.75" x14ac:dyDescent="0.3">
      <c r="A15" s="140" t="s">
        <v>18</v>
      </c>
      <c r="B15" s="140" t="str">
        <f>REKAPITULACIJA!B8</f>
        <v>SVEUKUPNA REKAPITULACIJA</v>
      </c>
      <c r="C15" s="140"/>
      <c r="E15" s="140"/>
      <c r="F15" s="140"/>
      <c r="G15" s="140"/>
    </row>
    <row r="16" spans="1:7" s="145" customFormat="1" ht="18.75" x14ac:dyDescent="0.3">
      <c r="A16" s="140"/>
      <c r="B16" s="140"/>
      <c r="C16" s="140"/>
      <c r="D16" s="146"/>
      <c r="E16" s="140"/>
      <c r="F16" s="147"/>
    </row>
    <row r="17" spans="1:9" s="145" customFormat="1" ht="18.75" x14ac:dyDescent="0.3">
      <c r="A17" s="140"/>
      <c r="B17" s="140"/>
      <c r="C17" s="140"/>
      <c r="D17" s="146"/>
      <c r="E17" s="140"/>
      <c r="F17" s="140"/>
    </row>
    <row r="18" spans="1:9" s="145" customFormat="1" ht="18.75" x14ac:dyDescent="0.3">
      <c r="A18" s="140"/>
      <c r="B18" s="140"/>
      <c r="C18" s="140"/>
      <c r="D18" s="146"/>
      <c r="E18" s="140"/>
      <c r="F18" s="148"/>
    </row>
    <row r="19" spans="1:9" s="150" customFormat="1" ht="18.75" x14ac:dyDescent="0.3">
      <c r="A19" s="140"/>
      <c r="B19" s="140"/>
      <c r="C19" s="140"/>
      <c r="D19" s="149"/>
      <c r="E19" s="149"/>
      <c r="F19" s="149"/>
      <c r="G19" s="149"/>
      <c r="H19" s="149"/>
      <c r="I19" s="149"/>
    </row>
    <row r="20" spans="1:9" s="150" customFormat="1" ht="18.75" x14ac:dyDescent="0.3">
      <c r="A20" s="140"/>
      <c r="B20" s="140"/>
      <c r="C20" s="140"/>
      <c r="D20" s="151"/>
      <c r="E20" s="151"/>
      <c r="F20" s="151"/>
      <c r="G20" s="151"/>
      <c r="H20" s="151"/>
      <c r="I20" s="151"/>
    </row>
    <row r="21" spans="1:9" s="150" customFormat="1" ht="18.75" x14ac:dyDescent="0.3">
      <c r="A21" s="140"/>
      <c r="B21" s="140"/>
      <c r="C21" s="140"/>
      <c r="D21" s="151"/>
      <c r="E21" s="151"/>
      <c r="F21" s="151"/>
      <c r="G21" s="151"/>
      <c r="H21" s="151"/>
      <c r="I21" s="151"/>
    </row>
    <row r="22" spans="1:9" ht="18.75" x14ac:dyDescent="0.2">
      <c r="A22" s="152"/>
      <c r="B22" s="152"/>
      <c r="C22" s="152"/>
      <c r="D22" s="152"/>
      <c r="E22" s="152"/>
      <c r="F22" s="152"/>
      <c r="G22" s="152"/>
      <c r="H22" s="152"/>
      <c r="I22" s="152"/>
    </row>
    <row r="23" spans="1:9" ht="18.75" x14ac:dyDescent="0.2">
      <c r="A23" s="152"/>
      <c r="B23" s="152"/>
      <c r="C23" s="152"/>
      <c r="D23" s="152"/>
      <c r="E23" s="152"/>
      <c r="F23" s="152"/>
      <c r="G23" s="152"/>
      <c r="H23" s="152"/>
      <c r="I23" s="152"/>
    </row>
    <row r="38" spans="6:9" s="154" customFormat="1" ht="15" x14ac:dyDescent="0.2">
      <c r="F38" s="153"/>
      <c r="G38" s="153"/>
      <c r="H38" s="153"/>
      <c r="I38" s="153"/>
    </row>
    <row r="39" spans="6:9" s="154" customFormat="1" ht="15" x14ac:dyDescent="0.2">
      <c r="F39" s="153"/>
      <c r="G39" s="153"/>
      <c r="H39" s="153"/>
      <c r="I39" s="153"/>
    </row>
  </sheetData>
  <sheetProtection selectLockedCells="1"/>
  <dataValidations count="1">
    <dataValidation operator="lessThan" allowBlank="1" showInputMessage="1" showErrorMessage="1" sqref="A1:XFD1048576"/>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B71"/>
  <sheetViews>
    <sheetView view="pageBreakPreview" zoomScaleNormal="100" zoomScaleSheetLayoutView="100" workbookViewId="0">
      <selection activeCell="C24" sqref="C24"/>
    </sheetView>
  </sheetViews>
  <sheetFormatPr defaultColWidth="9.140625" defaultRowHeight="15.75" x14ac:dyDescent="0.25"/>
  <cols>
    <col min="1" max="1" width="110.7109375" style="130" customWidth="1"/>
    <col min="2" max="16384" width="9.140625" style="6"/>
  </cols>
  <sheetData>
    <row r="2" spans="1:1" x14ac:dyDescent="0.25">
      <c r="A2" s="132" t="s">
        <v>25</v>
      </c>
    </row>
    <row r="3" spans="1:1" s="12" customFormat="1" x14ac:dyDescent="0.2">
      <c r="A3" s="129"/>
    </row>
    <row r="4" spans="1:1" ht="31.5" x14ac:dyDescent="0.25">
      <c r="A4" s="129" t="s">
        <v>64</v>
      </c>
    </row>
    <row r="5" spans="1:1" x14ac:dyDescent="0.25">
      <c r="A5" s="130" t="s">
        <v>231</v>
      </c>
    </row>
    <row r="6" spans="1:1" ht="31.5" x14ac:dyDescent="0.25">
      <c r="A6" s="130" t="s">
        <v>232</v>
      </c>
    </row>
    <row r="7" spans="1:1" ht="47.25" x14ac:dyDescent="0.25">
      <c r="A7" s="130" t="s">
        <v>233</v>
      </c>
    </row>
    <row r="8" spans="1:1" ht="110.25" x14ac:dyDescent="0.25">
      <c r="A8" s="130" t="s">
        <v>186</v>
      </c>
    </row>
    <row r="9" spans="1:1" ht="31.5" x14ac:dyDescent="0.25">
      <c r="A9" s="130" t="s">
        <v>26</v>
      </c>
    </row>
    <row r="10" spans="1:1" ht="63" x14ac:dyDescent="0.25">
      <c r="A10" s="130" t="s">
        <v>27</v>
      </c>
    </row>
    <row r="11" spans="1:1" ht="31.5" x14ac:dyDescent="0.25">
      <c r="A11" s="130" t="s">
        <v>287</v>
      </c>
    </row>
    <row r="12" spans="1:1" x14ac:dyDescent="0.25">
      <c r="A12" s="130" t="s">
        <v>28</v>
      </c>
    </row>
    <row r="13" spans="1:1" ht="47.25" x14ac:dyDescent="0.25">
      <c r="A13" s="130" t="s">
        <v>185</v>
      </c>
    </row>
    <row r="14" spans="1:1" x14ac:dyDescent="0.25">
      <c r="A14" s="130" t="s">
        <v>29</v>
      </c>
    </row>
    <row r="15" spans="1:1" ht="47.25" x14ac:dyDescent="0.25">
      <c r="A15" s="130" t="s">
        <v>30</v>
      </c>
    </row>
    <row r="16" spans="1:1" x14ac:dyDescent="0.25">
      <c r="A16" s="130" t="s">
        <v>31</v>
      </c>
    </row>
    <row r="18" spans="1:1" x14ac:dyDescent="0.25">
      <c r="A18" s="129" t="s">
        <v>32</v>
      </c>
    </row>
    <row r="19" spans="1:1" ht="31.5" x14ac:dyDescent="0.25">
      <c r="A19" s="130" t="s">
        <v>33</v>
      </c>
    </row>
    <row r="20" spans="1:1" ht="47.25" x14ac:dyDescent="0.25">
      <c r="A20" s="130" t="s">
        <v>184</v>
      </c>
    </row>
    <row r="21" spans="1:1" ht="31.5" x14ac:dyDescent="0.25">
      <c r="A21" s="130" t="s">
        <v>34</v>
      </c>
    </row>
    <row r="23" spans="1:1" x14ac:dyDescent="0.25">
      <c r="A23" s="129" t="s">
        <v>35</v>
      </c>
    </row>
    <row r="24" spans="1:1" ht="31.5" x14ac:dyDescent="0.25">
      <c r="A24" s="130" t="s">
        <v>36</v>
      </c>
    </row>
    <row r="25" spans="1:1" ht="31.5" x14ac:dyDescent="0.25">
      <c r="A25" s="130" t="s">
        <v>37</v>
      </c>
    </row>
    <row r="26" spans="1:1" ht="31.5" x14ac:dyDescent="0.25">
      <c r="A26" s="130" t="s">
        <v>71</v>
      </c>
    </row>
    <row r="28" spans="1:1" x14ac:dyDescent="0.25">
      <c r="A28" s="129" t="s">
        <v>38</v>
      </c>
    </row>
    <row r="29" spans="1:1" ht="47.25" x14ac:dyDescent="0.25">
      <c r="A29" s="130" t="s">
        <v>226</v>
      </c>
    </row>
    <row r="30" spans="1:1" x14ac:dyDescent="0.25">
      <c r="A30" s="130" t="s">
        <v>39</v>
      </c>
    </row>
    <row r="31" spans="1:1" x14ac:dyDescent="0.25">
      <c r="A31" s="130" t="s">
        <v>40</v>
      </c>
    </row>
    <row r="32" spans="1:1" x14ac:dyDescent="0.25">
      <c r="A32" s="130" t="s">
        <v>227</v>
      </c>
    </row>
    <row r="34" spans="1:2" x14ac:dyDescent="0.25">
      <c r="A34" s="129" t="s">
        <v>41</v>
      </c>
    </row>
    <row r="35" spans="1:2" x14ac:dyDescent="0.25">
      <c r="A35" s="130" t="s">
        <v>42</v>
      </c>
    </row>
    <row r="36" spans="1:2" ht="31.5" x14ac:dyDescent="0.25">
      <c r="A36" s="130" t="s">
        <v>43</v>
      </c>
    </row>
    <row r="37" spans="1:2" ht="47.25" x14ac:dyDescent="0.25">
      <c r="A37" s="130" t="s">
        <v>44</v>
      </c>
    </row>
    <row r="38" spans="1:2" x14ac:dyDescent="0.25">
      <c r="A38" s="130" t="s">
        <v>45</v>
      </c>
    </row>
    <row r="40" spans="1:2" x14ac:dyDescent="0.25">
      <c r="A40" s="129" t="s">
        <v>46</v>
      </c>
    </row>
    <row r="41" spans="1:2" ht="31.5" x14ac:dyDescent="0.25">
      <c r="A41" s="130" t="s">
        <v>47</v>
      </c>
    </row>
    <row r="42" spans="1:2" x14ac:dyDescent="0.25">
      <c r="A42" s="131" t="s">
        <v>217</v>
      </c>
    </row>
    <row r="43" spans="1:2" x14ac:dyDescent="0.25">
      <c r="A43" s="131" t="s">
        <v>218</v>
      </c>
    </row>
    <row r="44" spans="1:2" x14ac:dyDescent="0.25">
      <c r="A44" s="131" t="s">
        <v>182</v>
      </c>
    </row>
    <row r="45" spans="1:2" ht="31.5" x14ac:dyDescent="0.25">
      <c r="A45" s="131" t="s">
        <v>195</v>
      </c>
    </row>
    <row r="46" spans="1:2" x14ac:dyDescent="0.25">
      <c r="A46" s="131" t="s">
        <v>181</v>
      </c>
    </row>
    <row r="47" spans="1:2" x14ac:dyDescent="0.25">
      <c r="A47" s="214" t="s">
        <v>192</v>
      </c>
      <c r="B47" s="8"/>
    </row>
    <row r="48" spans="1:2" ht="31.5" x14ac:dyDescent="0.25">
      <c r="A48" s="131" t="s">
        <v>219</v>
      </c>
    </row>
    <row r="49" spans="1:1" x14ac:dyDescent="0.25">
      <c r="A49" s="131" t="s">
        <v>48</v>
      </c>
    </row>
    <row r="50" spans="1:1" x14ac:dyDescent="0.25">
      <c r="A50" s="131" t="s">
        <v>49</v>
      </c>
    </row>
    <row r="51" spans="1:1" x14ac:dyDescent="0.25">
      <c r="A51" s="131" t="s">
        <v>50</v>
      </c>
    </row>
    <row r="52" spans="1:1" ht="31.5" x14ac:dyDescent="0.25">
      <c r="A52" s="131" t="s">
        <v>220</v>
      </c>
    </row>
    <row r="53" spans="1:1" ht="31.5" x14ac:dyDescent="0.25">
      <c r="A53" s="214" t="s">
        <v>221</v>
      </c>
    </row>
    <row r="54" spans="1:1" x14ac:dyDescent="0.25">
      <c r="A54" s="131" t="s">
        <v>194</v>
      </c>
    </row>
    <row r="55" spans="1:1" x14ac:dyDescent="0.25">
      <c r="A55" s="131" t="s">
        <v>193</v>
      </c>
    </row>
    <row r="56" spans="1:1" ht="31.5" x14ac:dyDescent="0.25">
      <c r="A56" s="130" t="s">
        <v>51</v>
      </c>
    </row>
    <row r="57" spans="1:1" x14ac:dyDescent="0.25">
      <c r="A57" s="130" t="s">
        <v>52</v>
      </c>
    </row>
    <row r="59" spans="1:1" x14ac:dyDescent="0.25">
      <c r="A59" s="129" t="s">
        <v>53</v>
      </c>
    </row>
    <row r="60" spans="1:1" s="8" customFormat="1" ht="31.5" x14ac:dyDescent="0.25">
      <c r="A60" s="130" t="s">
        <v>54</v>
      </c>
    </row>
    <row r="61" spans="1:1" s="8" customFormat="1" x14ac:dyDescent="0.25">
      <c r="A61" s="130"/>
    </row>
    <row r="62" spans="1:1" s="8" customFormat="1" x14ac:dyDescent="0.25">
      <c r="A62" s="129" t="s">
        <v>55</v>
      </c>
    </row>
    <row r="63" spans="1:1" s="8" customFormat="1" ht="31.5" x14ac:dyDescent="0.25">
      <c r="A63" s="130" t="s">
        <v>56</v>
      </c>
    </row>
    <row r="64" spans="1:1" s="8" customFormat="1" ht="31.5" x14ac:dyDescent="0.25">
      <c r="A64" s="130" t="s">
        <v>57</v>
      </c>
    </row>
    <row r="66" spans="1:1" s="8" customFormat="1" x14ac:dyDescent="0.25">
      <c r="A66" s="129" t="s">
        <v>58</v>
      </c>
    </row>
    <row r="67" spans="1:1" s="8" customFormat="1" ht="47.25" x14ac:dyDescent="0.25">
      <c r="A67" s="130" t="s">
        <v>59</v>
      </c>
    </row>
    <row r="68" spans="1:1" s="8" customFormat="1" x14ac:dyDescent="0.25">
      <c r="A68" s="130" t="s">
        <v>60</v>
      </c>
    </row>
    <row r="69" spans="1:1" s="8" customFormat="1" ht="47.25" x14ac:dyDescent="0.25">
      <c r="A69" s="130" t="s">
        <v>61</v>
      </c>
    </row>
    <row r="70" spans="1:1" s="8" customFormat="1" x14ac:dyDescent="0.25">
      <c r="A70" s="130"/>
    </row>
    <row r="71" spans="1:1" s="8" customFormat="1" ht="31.5" x14ac:dyDescent="0.25">
      <c r="A71" s="129" t="s">
        <v>62</v>
      </c>
    </row>
  </sheetData>
  <sheetProtection selectLockedCells="1"/>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A115"/>
  <sheetViews>
    <sheetView view="pageBreakPreview" zoomScaleNormal="100" zoomScaleSheetLayoutView="100" workbookViewId="0">
      <selection activeCell="C24" sqref="C24"/>
    </sheetView>
  </sheetViews>
  <sheetFormatPr defaultColWidth="9.140625" defaultRowHeight="15.75" x14ac:dyDescent="0.25"/>
  <cols>
    <col min="1" max="1" width="110.7109375" style="130" customWidth="1"/>
    <col min="2" max="16384" width="9.140625" style="6"/>
  </cols>
  <sheetData>
    <row r="2" spans="1:1" x14ac:dyDescent="0.25">
      <c r="A2" s="132" t="s">
        <v>103</v>
      </c>
    </row>
    <row r="3" spans="1:1" x14ac:dyDescent="0.25">
      <c r="A3" s="132"/>
    </row>
    <row r="4" spans="1:1" s="12" customFormat="1" x14ac:dyDescent="0.2">
      <c r="A4" s="129" t="str">
        <f>""&amp;TEXT('A_GRAĐ-OBRT'!A9,) &amp;") " &amp;TEXT('A_GRAĐ-OBRT'!B9,)&amp;""</f>
        <v>A.1.) PRIPREMNI I ZAVRŠNI RADOVI</v>
      </c>
    </row>
    <row r="5" spans="1:1" s="7" customFormat="1" ht="31.5" x14ac:dyDescent="0.2">
      <c r="A5" s="130" t="s">
        <v>96</v>
      </c>
    </row>
    <row r="6" spans="1:1" s="12" customFormat="1" x14ac:dyDescent="0.2">
      <c r="A6" s="129"/>
    </row>
    <row r="7" spans="1:1" s="12" customFormat="1" x14ac:dyDescent="0.2">
      <c r="A7" s="129" t="str">
        <f>""&amp;TEXT('A_GRAĐ-OBRT'!A24,) &amp;") " &amp;TEXT('A_GRAĐ-OBRT'!B24,)&amp;""</f>
        <v>A.2.) RADOVI DEMONTAŽE, RAZGRADNJE I UKLANJANJA</v>
      </c>
    </row>
    <row r="8" spans="1:1" s="7" customFormat="1" ht="63" x14ac:dyDescent="0.2">
      <c r="A8" s="130" t="s">
        <v>141</v>
      </c>
    </row>
    <row r="9" spans="1:1" s="7" customFormat="1" ht="47.25" x14ac:dyDescent="0.2">
      <c r="A9" s="129" t="s">
        <v>239</v>
      </c>
    </row>
    <row r="10" spans="1:1" s="7" customFormat="1" x14ac:dyDescent="0.2">
      <c r="A10" s="129" t="s">
        <v>142</v>
      </c>
    </row>
    <row r="11" spans="1:1" s="7" customFormat="1" ht="31.5" x14ac:dyDescent="0.2">
      <c r="A11" s="130" t="s">
        <v>143</v>
      </c>
    </row>
    <row r="12" spans="1:1" x14ac:dyDescent="0.25">
      <c r="A12" s="129"/>
    </row>
    <row r="13" spans="1:1" x14ac:dyDescent="0.25">
      <c r="A13" s="129" t="str">
        <f>""&amp;TEXT('A_GRAĐ-OBRT'!A117,) &amp;") " &amp;TEXT('A_GRAĐ-OBRT'!B117,)&amp;""</f>
        <v>A.3.) BETONSKI I ARMIRANOBETONSKI RADOVI</v>
      </c>
    </row>
    <row r="14" spans="1:1" ht="63" x14ac:dyDescent="0.25">
      <c r="A14" s="130" t="s">
        <v>167</v>
      </c>
    </row>
    <row r="16" spans="1:1" x14ac:dyDescent="0.25">
      <c r="A16" s="129" t="str">
        <f>""&amp;TEXT('A_GRAĐ-OBRT'!A129,) &amp;") " &amp;TEXT('A_GRAĐ-OBRT'!B129,)&amp;""</f>
        <v>A.4.)  ZIDARSKI RADOVI</v>
      </c>
    </row>
    <row r="17" spans="1:1" ht="47.25" x14ac:dyDescent="0.25">
      <c r="A17" s="130" t="s">
        <v>97</v>
      </c>
    </row>
    <row r="18" spans="1:1" x14ac:dyDescent="0.25">
      <c r="A18" s="131" t="s">
        <v>140</v>
      </c>
    </row>
    <row r="19" spans="1:1" x14ac:dyDescent="0.25">
      <c r="A19" s="131" t="s">
        <v>98</v>
      </c>
    </row>
    <row r="20" spans="1:1" ht="31.5" x14ac:dyDescent="0.25">
      <c r="A20" s="130" t="s">
        <v>197</v>
      </c>
    </row>
    <row r="21" spans="1:1" ht="31.5" x14ac:dyDescent="0.25">
      <c r="A21" s="130" t="s">
        <v>198</v>
      </c>
    </row>
    <row r="35" spans="1:1" x14ac:dyDescent="0.25">
      <c r="A35" s="129" t="str">
        <f>""&amp;TEXT('A_GRAĐ-OBRT'!A146,) &amp;") " &amp;TEXT('A_GRAĐ-OBRT'!B146,)&amp;""</f>
        <v>A.5.) IZOLATERSKI RADOVI</v>
      </c>
    </row>
    <row r="36" spans="1:1" ht="31.5" x14ac:dyDescent="0.25">
      <c r="A36" s="130" t="s">
        <v>222</v>
      </c>
    </row>
    <row r="38" spans="1:1" x14ac:dyDescent="0.25">
      <c r="A38" s="129" t="str">
        <f>""&amp;TEXT('A_GRAĐ-OBRT'!A161,) &amp;") " &amp;TEXT('A_GRAĐ-OBRT'!B161,)&amp;""</f>
        <v>A.6.) STOLARIJA I BRAVARIJA</v>
      </c>
    </row>
    <row r="39" spans="1:1" ht="47.25" x14ac:dyDescent="0.25">
      <c r="A39" s="130" t="s">
        <v>440</v>
      </c>
    </row>
    <row r="40" spans="1:1" x14ac:dyDescent="0.25">
      <c r="A40" s="129"/>
    </row>
    <row r="41" spans="1:1" x14ac:dyDescent="0.25">
      <c r="A41" s="19" t="s">
        <v>14</v>
      </c>
    </row>
    <row r="42" spans="1:1" x14ac:dyDescent="0.25">
      <c r="A42" s="135" t="s">
        <v>76</v>
      </c>
    </row>
    <row r="43" spans="1:1" x14ac:dyDescent="0.25">
      <c r="A43" s="135" t="s">
        <v>77</v>
      </c>
    </row>
    <row r="44" spans="1:1" x14ac:dyDescent="0.25">
      <c r="A44" s="135" t="s">
        <v>78</v>
      </c>
    </row>
    <row r="45" spans="1:1" x14ac:dyDescent="0.25">
      <c r="A45" s="135" t="s">
        <v>79</v>
      </c>
    </row>
    <row r="46" spans="1:1" x14ac:dyDescent="0.25">
      <c r="A46" s="135" t="s">
        <v>80</v>
      </c>
    </row>
    <row r="47" spans="1:1" x14ac:dyDescent="0.25">
      <c r="A47" s="135" t="s">
        <v>81</v>
      </c>
    </row>
    <row r="48" spans="1:1" x14ac:dyDescent="0.25">
      <c r="A48" s="19" t="s">
        <v>15</v>
      </c>
    </row>
    <row r="49" spans="1:1" x14ac:dyDescent="0.25">
      <c r="A49" s="20"/>
    </row>
    <row r="50" spans="1:1" x14ac:dyDescent="0.25">
      <c r="A50" s="20" t="s">
        <v>11</v>
      </c>
    </row>
    <row r="51" spans="1:1" x14ac:dyDescent="0.25">
      <c r="A51" s="20" t="s">
        <v>65</v>
      </c>
    </row>
    <row r="52" spans="1:1" x14ac:dyDescent="0.25">
      <c r="A52" s="136" t="s">
        <v>12</v>
      </c>
    </row>
    <row r="53" spans="1:1" x14ac:dyDescent="0.25">
      <c r="A53" s="136" t="s">
        <v>19</v>
      </c>
    </row>
    <row r="54" spans="1:1" x14ac:dyDescent="0.25">
      <c r="A54" s="136" t="s">
        <v>20</v>
      </c>
    </row>
    <row r="55" spans="1:1" x14ac:dyDescent="0.25">
      <c r="A55" s="136" t="s">
        <v>67</v>
      </c>
    </row>
    <row r="56" spans="1:1" x14ac:dyDescent="0.25">
      <c r="A56" s="136" t="s">
        <v>13</v>
      </c>
    </row>
    <row r="57" spans="1:1" x14ac:dyDescent="0.25">
      <c r="A57" s="136" t="s">
        <v>66</v>
      </c>
    </row>
    <row r="58" spans="1:1" x14ac:dyDescent="0.25">
      <c r="A58" s="20"/>
    </row>
    <row r="59" spans="1:1" x14ac:dyDescent="0.25">
      <c r="A59" s="20" t="s">
        <v>22</v>
      </c>
    </row>
    <row r="60" spans="1:1" ht="63" x14ac:dyDescent="0.25">
      <c r="A60" s="20" t="s">
        <v>187</v>
      </c>
    </row>
    <row r="61" spans="1:1" ht="31.5" x14ac:dyDescent="0.25">
      <c r="A61" s="20" t="s">
        <v>188</v>
      </c>
    </row>
    <row r="62" spans="1:1" ht="31.5" x14ac:dyDescent="0.25">
      <c r="A62" s="20" t="s">
        <v>93</v>
      </c>
    </row>
    <row r="63" spans="1:1" ht="47.25" x14ac:dyDescent="0.25">
      <c r="A63" s="19" t="s">
        <v>92</v>
      </c>
    </row>
    <row r="64" spans="1:1" x14ac:dyDescent="0.25">
      <c r="A64" s="20" t="s">
        <v>441</v>
      </c>
    </row>
    <row r="65" spans="1:1" x14ac:dyDescent="0.25">
      <c r="A65" s="19" t="s">
        <v>230</v>
      </c>
    </row>
    <row r="67" spans="1:1" x14ac:dyDescent="0.25">
      <c r="A67" s="129" t="str">
        <f>""&amp;TEXT('A_GRAĐ-OBRT'!A179,) &amp;") " &amp;TEXT('A_GRAĐ-OBRT'!B179,)&amp;""</f>
        <v>A.7.) SOBOSLIKARSKI I LIČILAČKI RADOVI</v>
      </c>
    </row>
    <row r="68" spans="1:1" ht="31.5" x14ac:dyDescent="0.25">
      <c r="A68" s="130" t="s">
        <v>94</v>
      </c>
    </row>
    <row r="69" spans="1:1" x14ac:dyDescent="0.25">
      <c r="A69" s="129"/>
    </row>
    <row r="70" spans="1:1" x14ac:dyDescent="0.25">
      <c r="A70" s="129" t="str">
        <f>""&amp;TEXT('A_GRAĐ-OBRT'!A207,) &amp;") " &amp;TEXT('A_GRAĐ-OBRT'!B207,)&amp;""</f>
        <v>A.8.) GIPS-KARTONSKI RADOVI</v>
      </c>
    </row>
    <row r="71" spans="1:1" s="8" customFormat="1" ht="63" x14ac:dyDescent="0.25">
      <c r="A71" s="19" t="s">
        <v>191</v>
      </c>
    </row>
    <row r="72" spans="1:1" s="8" customFormat="1" x14ac:dyDescent="0.25">
      <c r="A72" s="22" t="s">
        <v>75</v>
      </c>
    </row>
    <row r="73" spans="1:1" s="8" customFormat="1" x14ac:dyDescent="0.25">
      <c r="A73" s="135" t="s">
        <v>102</v>
      </c>
    </row>
    <row r="74" spans="1:1" s="8" customFormat="1" x14ac:dyDescent="0.25">
      <c r="A74" s="135" t="s">
        <v>101</v>
      </c>
    </row>
    <row r="75" spans="1:1" s="8" customFormat="1" x14ac:dyDescent="0.25">
      <c r="A75" s="135" t="s">
        <v>100</v>
      </c>
    </row>
    <row r="76" spans="1:1" ht="31.5" x14ac:dyDescent="0.25">
      <c r="A76" s="112" t="s">
        <v>144</v>
      </c>
    </row>
    <row r="77" spans="1:1" ht="47.25" x14ac:dyDescent="0.25">
      <c r="A77" s="130" t="s">
        <v>189</v>
      </c>
    </row>
    <row r="78" spans="1:1" s="8" customFormat="1" x14ac:dyDescent="0.25">
      <c r="A78" s="130"/>
    </row>
    <row r="79" spans="1:1" x14ac:dyDescent="0.25">
      <c r="A79" s="129" t="str">
        <f>""&amp;TEXT('A_GRAĐ-OBRT'!A234,) &amp;") " &amp;TEXT('A_GRAĐ-OBRT'!B234,)&amp;""</f>
        <v>A.9.) KERAMIČARSKI RADOVI</v>
      </c>
    </row>
    <row r="80" spans="1:1" ht="78.75" x14ac:dyDescent="0.25">
      <c r="A80" s="19" t="s">
        <v>223</v>
      </c>
    </row>
    <row r="81" spans="1:1" x14ac:dyDescent="0.25">
      <c r="A81" s="19" t="s">
        <v>87</v>
      </c>
    </row>
    <row r="82" spans="1:1" x14ac:dyDescent="0.25">
      <c r="A82" s="137" t="s">
        <v>83</v>
      </c>
    </row>
    <row r="83" spans="1:1" x14ac:dyDescent="0.25">
      <c r="A83" s="137" t="s">
        <v>84</v>
      </c>
    </row>
    <row r="84" spans="1:1" x14ac:dyDescent="0.25">
      <c r="A84" s="137" t="s">
        <v>85</v>
      </c>
    </row>
    <row r="85" spans="1:1" x14ac:dyDescent="0.25">
      <c r="A85" s="137" t="s">
        <v>86</v>
      </c>
    </row>
    <row r="86" spans="1:1" x14ac:dyDescent="0.25">
      <c r="A86" s="137" t="s">
        <v>88</v>
      </c>
    </row>
    <row r="87" spans="1:1" x14ac:dyDescent="0.25">
      <c r="A87" s="137"/>
    </row>
    <row r="88" spans="1:1" x14ac:dyDescent="0.25">
      <c r="A88" s="129" t="str">
        <f>""&amp;TEXT('A_GRAĐ-OBRT'!A247,) &amp;") " &amp;TEXT('A_GRAĐ-OBRT'!B247,)&amp;""</f>
        <v>A.10.) PODOPOLAGAČKI RADOVI</v>
      </c>
    </row>
    <row r="89" spans="1:1" x14ac:dyDescent="0.25">
      <c r="A89" s="19" t="s">
        <v>199</v>
      </c>
    </row>
    <row r="90" spans="1:1" ht="47.25" x14ac:dyDescent="0.25">
      <c r="A90" s="19" t="s">
        <v>200</v>
      </c>
    </row>
    <row r="91" spans="1:1" ht="31.5" x14ac:dyDescent="0.25">
      <c r="A91" s="215" t="s">
        <v>201</v>
      </c>
    </row>
    <row r="92" spans="1:1" ht="47.25" x14ac:dyDescent="0.25">
      <c r="A92" s="215" t="s">
        <v>202</v>
      </c>
    </row>
    <row r="93" spans="1:1" ht="47.25" x14ac:dyDescent="0.25">
      <c r="A93" s="215" t="s">
        <v>203</v>
      </c>
    </row>
    <row r="94" spans="1:1" x14ac:dyDescent="0.25">
      <c r="A94" s="215" t="s">
        <v>228</v>
      </c>
    </row>
    <row r="95" spans="1:1" x14ac:dyDescent="0.25">
      <c r="A95" s="215" t="s">
        <v>229</v>
      </c>
    </row>
    <row r="96" spans="1:1" ht="31.5" x14ac:dyDescent="0.25">
      <c r="A96" s="130" t="s">
        <v>204</v>
      </c>
    </row>
    <row r="97" spans="1:1" ht="31.5" x14ac:dyDescent="0.25">
      <c r="A97" s="130" t="s">
        <v>205</v>
      </c>
    </row>
    <row r="98" spans="1:1" x14ac:dyDescent="0.25">
      <c r="A98" s="130" t="s">
        <v>206</v>
      </c>
    </row>
    <row r="100" spans="1:1" x14ac:dyDescent="0.25">
      <c r="A100" s="130" t="s">
        <v>207</v>
      </c>
    </row>
    <row r="101" spans="1:1" x14ac:dyDescent="0.25">
      <c r="A101" s="131" t="s">
        <v>208</v>
      </c>
    </row>
    <row r="102" spans="1:1" x14ac:dyDescent="0.25">
      <c r="A102" s="131" t="s">
        <v>209</v>
      </c>
    </row>
    <row r="103" spans="1:1" x14ac:dyDescent="0.25">
      <c r="A103" s="131" t="s">
        <v>210</v>
      </c>
    </row>
    <row r="104" spans="1:1" x14ac:dyDescent="0.25">
      <c r="A104" s="131" t="s">
        <v>211</v>
      </c>
    </row>
    <row r="105" spans="1:1" x14ac:dyDescent="0.25">
      <c r="A105" s="131" t="s">
        <v>212</v>
      </c>
    </row>
    <row r="106" spans="1:1" x14ac:dyDescent="0.25">
      <c r="A106" s="131" t="s">
        <v>213</v>
      </c>
    </row>
    <row r="107" spans="1:1" x14ac:dyDescent="0.25">
      <c r="A107" s="131" t="s">
        <v>214</v>
      </c>
    </row>
    <row r="108" spans="1:1" x14ac:dyDescent="0.25">
      <c r="A108" s="131" t="s">
        <v>215</v>
      </c>
    </row>
    <row r="109" spans="1:1" x14ac:dyDescent="0.25">
      <c r="A109" s="131" t="s">
        <v>216</v>
      </c>
    </row>
    <row r="111" spans="1:1" x14ac:dyDescent="0.25">
      <c r="A111" s="129" t="str">
        <f>""&amp;TEXT('A_GRAĐ-OBRT'!A265,) &amp;") " &amp;TEXT('A_GRAĐ-OBRT'!B265,)&amp;""</f>
        <v>A.11.) RAZNI RADOVI</v>
      </c>
    </row>
    <row r="112" spans="1:1" ht="63" x14ac:dyDescent="0.25">
      <c r="A112" s="19" t="s">
        <v>95</v>
      </c>
    </row>
    <row r="113" spans="1:1" ht="63" x14ac:dyDescent="0.25">
      <c r="A113" s="19" t="s">
        <v>190</v>
      </c>
    </row>
    <row r="114" spans="1:1" ht="47.25" x14ac:dyDescent="0.25">
      <c r="A114" s="19" t="s">
        <v>82</v>
      </c>
    </row>
    <row r="115" spans="1:1" ht="31.5" x14ac:dyDescent="0.25">
      <c r="A115" s="19" t="s">
        <v>99</v>
      </c>
    </row>
  </sheetData>
  <sheetProtection selectLockedCells="1"/>
  <dataValidations count="1">
    <dataValidation operator="lessThan" allowBlank="1" showInputMessage="1" showErrorMessage="1" sqref="B89:XFD109 A110:XFD1048576 A1:XFD88"/>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433"/>
  <sheetViews>
    <sheetView view="pageBreakPreview" zoomScaleNormal="85" zoomScaleSheetLayoutView="100" workbookViewId="0">
      <pane ySplit="8" topLeftCell="A9" activePane="bottomLeft" state="frozen"/>
      <selection activeCell="C24" sqref="C24"/>
      <selection pane="bottomLeft" activeCell="C24" sqref="C24"/>
    </sheetView>
  </sheetViews>
  <sheetFormatPr defaultColWidth="9.140625" defaultRowHeight="15.75" x14ac:dyDescent="0.25"/>
  <cols>
    <col min="1" max="1" width="5.7109375" style="38" customWidth="1"/>
    <col min="2" max="2" width="55.7109375" style="19" customWidth="1"/>
    <col min="3" max="3" width="8.7109375" style="86" customWidth="1"/>
    <col min="4" max="4" width="11.7109375" style="87" customWidth="1"/>
    <col min="5" max="5" width="11.7109375" style="94" customWidth="1"/>
    <col min="6" max="6" width="17.7109375" style="73" customWidth="1"/>
    <col min="7" max="16384" width="9.140625" style="1"/>
  </cols>
  <sheetData>
    <row r="1" spans="1:6" x14ac:dyDescent="0.25">
      <c r="A1" s="103" t="str">
        <f>"GRAĐEVINA: "&amp;TEXT(NASLOVNICA!A10,)&amp;", "&amp;TEXT(NASLOVNICA!A11,)</f>
        <v xml:space="preserve">GRAĐEVINA: UČENIČKI DOM, k.č.br. 7475, MB 339164 k.o. CENTAR NOVI
</v>
      </c>
      <c r="C1" s="106"/>
      <c r="D1" s="106"/>
      <c r="E1" s="120"/>
      <c r="F1" s="106"/>
    </row>
    <row r="2" spans="1:6" x14ac:dyDescent="0.25">
      <c r="A2" s="103" t="str">
        <f>"PROJEKT: "&amp;TEXT(NASLOVNICA!A22,)</f>
        <v>PROJEKT: UREĐENJE PROSTORA BIVŠEG CAFFE BARA</v>
      </c>
      <c r="C2" s="106"/>
      <c r="D2" s="106"/>
      <c r="E2" s="120"/>
      <c r="F2" s="106"/>
    </row>
    <row r="3" spans="1:6" x14ac:dyDescent="0.25">
      <c r="A3" s="103" t="s">
        <v>104</v>
      </c>
      <c r="C3" s="106"/>
      <c r="D3" s="106"/>
      <c r="E3" s="213"/>
      <c r="F3" s="213"/>
    </row>
    <row r="4" spans="1:6" x14ac:dyDescent="0.25">
      <c r="C4" s="78"/>
      <c r="D4" s="79"/>
      <c r="E4" s="121"/>
      <c r="F4" s="66"/>
    </row>
    <row r="5" spans="1:6" s="2" customFormat="1" ht="31.5" x14ac:dyDescent="0.2">
      <c r="A5" s="63" t="s">
        <v>1</v>
      </c>
      <c r="B5" s="133" t="s">
        <v>5</v>
      </c>
      <c r="C5" s="41" t="s">
        <v>2</v>
      </c>
      <c r="D5" s="28" t="s">
        <v>3</v>
      </c>
      <c r="E5" s="62" t="s">
        <v>4</v>
      </c>
      <c r="F5" s="36" t="s">
        <v>9</v>
      </c>
    </row>
    <row r="6" spans="1:6" s="2" customFormat="1" x14ac:dyDescent="0.2">
      <c r="A6" s="38"/>
      <c r="B6" s="20"/>
      <c r="C6" s="80"/>
      <c r="D6" s="81"/>
      <c r="E6" s="122"/>
      <c r="F6" s="67"/>
    </row>
    <row r="7" spans="1:6" x14ac:dyDescent="0.25">
      <c r="A7" s="39" t="s">
        <v>8</v>
      </c>
      <c r="B7" s="21" t="s">
        <v>105</v>
      </c>
      <c r="C7" s="82"/>
      <c r="D7" s="83"/>
      <c r="E7" s="123"/>
      <c r="F7" s="68"/>
    </row>
    <row r="8" spans="1:6" s="5" customFormat="1" x14ac:dyDescent="0.25">
      <c r="A8" s="40"/>
      <c r="B8" s="18"/>
      <c r="C8" s="84"/>
      <c r="D8" s="85"/>
      <c r="E8" s="124"/>
      <c r="F8" s="69"/>
    </row>
    <row r="9" spans="1:6" x14ac:dyDescent="0.25">
      <c r="A9" s="39" t="str">
        <f>TEXT($A$7,)&amp;"1."</f>
        <v>A.1.</v>
      </c>
      <c r="B9" s="21" t="s">
        <v>74</v>
      </c>
      <c r="C9" s="82"/>
      <c r="D9" s="83"/>
      <c r="E9" s="98"/>
      <c r="F9" s="70"/>
    </row>
    <row r="10" spans="1:6" s="5" customFormat="1" x14ac:dyDescent="0.25">
      <c r="A10" s="40"/>
      <c r="B10" s="18"/>
      <c r="C10" s="84"/>
      <c r="D10" s="85"/>
      <c r="E10" s="125"/>
      <c r="F10" s="71"/>
    </row>
    <row r="11" spans="1:6" s="5" customFormat="1" x14ac:dyDescent="0.25">
      <c r="A11" s="40">
        <f>COUNT(A$9:A10)+1</f>
        <v>1</v>
      </c>
      <c r="B11" s="18" t="s">
        <v>114</v>
      </c>
      <c r="C11" s="93"/>
      <c r="D11" s="92"/>
      <c r="E11" s="96"/>
      <c r="F11" s="69"/>
    </row>
    <row r="12" spans="1:6" s="5" customFormat="1" ht="47.25" x14ac:dyDescent="0.25">
      <c r="A12" s="40"/>
      <c r="B12" s="65" t="s">
        <v>288</v>
      </c>
    </row>
    <row r="13" spans="1:6" s="5" customFormat="1" x14ac:dyDescent="0.25">
      <c r="A13" s="40"/>
      <c r="B13" s="65" t="s">
        <v>234</v>
      </c>
      <c r="C13" s="93" t="s">
        <v>115</v>
      </c>
      <c r="D13" s="92">
        <f>ROUNDUP(1.4*4*2,0)</f>
        <v>12</v>
      </c>
      <c r="E13" s="96"/>
      <c r="F13" s="69">
        <f>D13*E13</f>
        <v>0</v>
      </c>
    </row>
    <row r="14" spans="1:6" s="5" customFormat="1" x14ac:dyDescent="0.25">
      <c r="A14" s="40"/>
      <c r="B14" s="65"/>
      <c r="C14" s="93"/>
      <c r="D14" s="92"/>
      <c r="E14" s="96"/>
      <c r="F14" s="74"/>
    </row>
    <row r="15" spans="1:6" s="5" customFormat="1" x14ac:dyDescent="0.25">
      <c r="A15" s="40">
        <f>COUNT(A$9:A14)+1</f>
        <v>2</v>
      </c>
      <c r="B15" s="18" t="s">
        <v>109</v>
      </c>
      <c r="C15" s="93"/>
      <c r="D15" s="92"/>
      <c r="E15" s="96"/>
      <c r="F15" s="74"/>
    </row>
    <row r="16" spans="1:6" s="5" customFormat="1" x14ac:dyDescent="0.25">
      <c r="A16" s="40"/>
      <c r="B16" s="65" t="s">
        <v>110</v>
      </c>
      <c r="C16" s="93" t="s">
        <v>111</v>
      </c>
      <c r="D16" s="92">
        <v>1</v>
      </c>
      <c r="E16" s="96"/>
      <c r="F16" s="74">
        <f>D16*E16</f>
        <v>0</v>
      </c>
    </row>
    <row r="17" spans="1:6" s="5" customFormat="1" x14ac:dyDescent="0.25">
      <c r="A17" s="40"/>
      <c r="B17" s="65"/>
      <c r="C17" s="93"/>
      <c r="D17" s="92"/>
      <c r="E17" s="96"/>
      <c r="F17" s="74"/>
    </row>
    <row r="18" spans="1:6" s="5" customFormat="1" x14ac:dyDescent="0.25">
      <c r="A18" s="40">
        <f>COUNT(A$9:A17)+1</f>
        <v>3</v>
      </c>
      <c r="B18" s="18" t="s">
        <v>112</v>
      </c>
      <c r="C18" s="93"/>
      <c r="D18" s="92"/>
      <c r="E18" s="96"/>
      <c r="F18" s="74"/>
    </row>
    <row r="19" spans="1:6" s="5" customFormat="1" ht="47.25" x14ac:dyDescent="0.25">
      <c r="A19" s="40"/>
      <c r="B19" s="65" t="s">
        <v>113</v>
      </c>
      <c r="C19" s="93" t="s">
        <v>111</v>
      </c>
      <c r="D19" s="92">
        <v>1</v>
      </c>
      <c r="E19" s="96"/>
      <c r="F19" s="74">
        <f>D19*E19</f>
        <v>0</v>
      </c>
    </row>
    <row r="21" spans="1:6" x14ac:dyDescent="0.25">
      <c r="A21" s="39"/>
      <c r="B21" s="21" t="str">
        <f>"UKUPNO - "&amp;TEXT(A9,) &amp;" " &amp;TEXT(B9,)&amp;" (€):"</f>
        <v>UKUPNO - A.1. PRIPREMNI I ZAVRŠNI RADOVI (€):</v>
      </c>
      <c r="C21" s="82"/>
      <c r="D21" s="83"/>
      <c r="E21" s="98"/>
      <c r="F21" s="72">
        <f>SUM(F9:F20)</f>
        <v>0</v>
      </c>
    </row>
    <row r="22" spans="1:6" s="5" customFormat="1" x14ac:dyDescent="0.25">
      <c r="A22" s="40"/>
      <c r="B22" s="18"/>
      <c r="C22" s="84"/>
      <c r="D22" s="85"/>
      <c r="E22" s="125"/>
      <c r="F22" s="71"/>
    </row>
    <row r="23" spans="1:6" x14ac:dyDescent="0.25">
      <c r="B23" s="20"/>
      <c r="C23" s="80"/>
      <c r="D23" s="81"/>
      <c r="E23" s="95"/>
      <c r="F23" s="72"/>
    </row>
    <row r="24" spans="1:6" x14ac:dyDescent="0.25">
      <c r="A24" s="39" t="str">
        <f>TEXT($A$7,)&amp;"2."</f>
        <v>A.2.</v>
      </c>
      <c r="B24" s="21" t="s">
        <v>171</v>
      </c>
      <c r="C24" s="88"/>
      <c r="D24" s="89"/>
      <c r="E24" s="98"/>
      <c r="F24" s="70"/>
    </row>
    <row r="25" spans="1:6" s="5" customFormat="1" x14ac:dyDescent="0.25">
      <c r="A25" s="40"/>
      <c r="B25" s="18"/>
      <c r="C25" s="93"/>
      <c r="D25" s="92"/>
      <c r="E25" s="125"/>
      <c r="F25" s="71"/>
    </row>
    <row r="26" spans="1:6" s="5" customFormat="1" ht="141.75" x14ac:dyDescent="0.25">
      <c r="A26" s="40"/>
      <c r="B26" s="18" t="s">
        <v>607</v>
      </c>
      <c r="C26" s="84"/>
      <c r="D26" s="85"/>
      <c r="E26" s="96"/>
      <c r="F26" s="71"/>
    </row>
    <row r="27" spans="1:6" s="5" customFormat="1" x14ac:dyDescent="0.25">
      <c r="A27" s="40"/>
      <c r="B27" s="18"/>
      <c r="C27" s="84"/>
      <c r="D27" s="85"/>
      <c r="E27" s="96"/>
      <c r="F27" s="71"/>
    </row>
    <row r="28" spans="1:6" s="5" customFormat="1" x14ac:dyDescent="0.25">
      <c r="A28" s="40">
        <f>COUNT(A$24:A27)+1</f>
        <v>1</v>
      </c>
      <c r="B28" s="18" t="s">
        <v>294</v>
      </c>
      <c r="C28" s="93"/>
      <c r="D28" s="92"/>
      <c r="E28" s="96"/>
      <c r="F28" s="74"/>
    </row>
    <row r="29" spans="1:6" s="5" customFormat="1" x14ac:dyDescent="0.25">
      <c r="A29" s="40"/>
      <c r="B29" s="65" t="s">
        <v>289</v>
      </c>
      <c r="C29" s="93"/>
      <c r="D29" s="92"/>
      <c r="E29" s="96"/>
      <c r="F29" s="74"/>
    </row>
    <row r="30" spans="1:6" s="5" customFormat="1" x14ac:dyDescent="0.25">
      <c r="A30" s="40" t="s">
        <v>116</v>
      </c>
      <c r="B30" s="24" t="s">
        <v>443</v>
      </c>
      <c r="C30" s="93" t="s">
        <v>107</v>
      </c>
      <c r="D30" s="92">
        <v>1</v>
      </c>
      <c r="E30" s="96"/>
      <c r="F30" s="69">
        <f>D30*E30</f>
        <v>0</v>
      </c>
    </row>
    <row r="31" spans="1:6" s="5" customFormat="1" x14ac:dyDescent="0.25">
      <c r="A31" s="40" t="str">
        <f t="shared" ref="A31:A32" si="0">CHAR(CODE(A30)+1)&amp;")"</f>
        <v>b)</v>
      </c>
      <c r="B31" s="24" t="s">
        <v>444</v>
      </c>
      <c r="C31" s="93" t="s">
        <v>107</v>
      </c>
      <c r="D31" s="92">
        <v>1</v>
      </c>
      <c r="E31" s="96"/>
      <c r="F31" s="69">
        <f>D31*E31</f>
        <v>0</v>
      </c>
    </row>
    <row r="32" spans="1:6" s="5" customFormat="1" x14ac:dyDescent="0.25">
      <c r="A32" s="40" t="str">
        <f t="shared" si="0"/>
        <v>c)</v>
      </c>
      <c r="B32" s="24" t="s">
        <v>456</v>
      </c>
      <c r="C32" s="93" t="s">
        <v>107</v>
      </c>
      <c r="D32" s="92">
        <v>1</v>
      </c>
      <c r="E32" s="96"/>
      <c r="F32" s="69">
        <f>D32*E32</f>
        <v>0</v>
      </c>
    </row>
    <row r="33" spans="1:6" s="5" customFormat="1" x14ac:dyDescent="0.25">
      <c r="A33" s="40" t="str">
        <f>CHAR(CODE(A32)+1)&amp;")"</f>
        <v>d)</v>
      </c>
      <c r="B33" s="24" t="s">
        <v>291</v>
      </c>
      <c r="C33" s="93" t="s">
        <v>107</v>
      </c>
      <c r="D33" s="92">
        <v>1</v>
      </c>
      <c r="E33" s="96"/>
      <c r="F33" s="69">
        <f>D33*E33</f>
        <v>0</v>
      </c>
    </row>
    <row r="34" spans="1:6" s="5" customFormat="1" ht="31.5" x14ac:dyDescent="0.25">
      <c r="A34" s="40" t="str">
        <f>CHAR(CODE(A33)+1)&amp;")"</f>
        <v>e)</v>
      </c>
      <c r="B34" s="24" t="s">
        <v>457</v>
      </c>
      <c r="C34" s="93" t="s">
        <v>107</v>
      </c>
      <c r="D34" s="92">
        <v>1</v>
      </c>
      <c r="E34" s="96"/>
      <c r="F34" s="69">
        <f>D34*E34</f>
        <v>0</v>
      </c>
    </row>
    <row r="35" spans="1:6" s="5" customFormat="1" x14ac:dyDescent="0.25">
      <c r="A35" s="40"/>
      <c r="B35" s="24"/>
      <c r="C35" s="93"/>
      <c r="D35" s="92"/>
      <c r="E35" s="96"/>
      <c r="F35" s="69"/>
    </row>
    <row r="36" spans="1:6" s="5" customFormat="1" x14ac:dyDescent="0.25">
      <c r="A36" s="40">
        <f>COUNT(A$24:A35)+1</f>
        <v>2</v>
      </c>
      <c r="B36" s="18" t="s">
        <v>293</v>
      </c>
      <c r="C36" s="93"/>
      <c r="D36" s="92"/>
      <c r="E36" s="96"/>
      <c r="F36" s="74"/>
    </row>
    <row r="37" spans="1:6" s="5" customFormat="1" ht="47.25" x14ac:dyDescent="0.25">
      <c r="A37" s="40"/>
      <c r="B37" s="65" t="s">
        <v>290</v>
      </c>
      <c r="C37" s="93"/>
      <c r="D37" s="92"/>
      <c r="E37" s="96"/>
      <c r="F37" s="74"/>
    </row>
    <row r="38" spans="1:6" s="5" customFormat="1" x14ac:dyDescent="0.25">
      <c r="A38" s="40" t="s">
        <v>116</v>
      </c>
      <c r="B38" s="24" t="s">
        <v>442</v>
      </c>
      <c r="C38" s="93" t="s">
        <v>107</v>
      </c>
      <c r="D38" s="92">
        <v>1</v>
      </c>
      <c r="E38" s="96"/>
      <c r="F38" s="69">
        <f>D38*E38</f>
        <v>0</v>
      </c>
    </row>
    <row r="39" spans="1:6" s="5" customFormat="1" x14ac:dyDescent="0.25">
      <c r="A39" s="40" t="str">
        <f t="shared" ref="A39" si="1">CHAR(CODE(A38)+1)&amp;")"</f>
        <v>b)</v>
      </c>
      <c r="B39" s="24" t="s">
        <v>292</v>
      </c>
      <c r="C39" s="93" t="s">
        <v>107</v>
      </c>
      <c r="D39" s="92">
        <v>1</v>
      </c>
      <c r="E39" s="96"/>
      <c r="F39" s="69">
        <f>D39*E39</f>
        <v>0</v>
      </c>
    </row>
    <row r="40" spans="1:6" s="5" customFormat="1" x14ac:dyDescent="0.25">
      <c r="A40" s="40"/>
      <c r="B40" s="24"/>
      <c r="C40" s="93"/>
      <c r="D40" s="92"/>
      <c r="E40" s="96"/>
      <c r="F40" s="69"/>
    </row>
    <row r="41" spans="1:6" s="5" customFormat="1" x14ac:dyDescent="0.25">
      <c r="A41" s="40">
        <f>COUNT(A$24:A39)+1</f>
        <v>3</v>
      </c>
      <c r="B41" s="165" t="s">
        <v>447</v>
      </c>
      <c r="C41" s="93"/>
      <c r="D41" s="228"/>
      <c r="E41" s="96"/>
      <c r="F41" s="221"/>
    </row>
    <row r="42" spans="1:6" s="5" customFormat="1" x14ac:dyDescent="0.25">
      <c r="A42" s="40"/>
      <c r="B42" s="24" t="s">
        <v>448</v>
      </c>
      <c r="C42" s="93"/>
      <c r="D42" s="228"/>
      <c r="E42" s="96"/>
      <c r="F42" s="221"/>
    </row>
    <row r="43" spans="1:6" s="5" customFormat="1" ht="47.25" x14ac:dyDescent="0.25">
      <c r="A43" s="40"/>
      <c r="B43" s="24" t="s">
        <v>453</v>
      </c>
      <c r="C43" s="93"/>
      <c r="D43" s="228"/>
      <c r="E43" s="96"/>
      <c r="F43" s="221"/>
    </row>
    <row r="44" spans="1:6" s="5" customFormat="1" ht="31.5" x14ac:dyDescent="0.25">
      <c r="A44" s="40"/>
      <c r="B44" s="24" t="s">
        <v>449</v>
      </c>
      <c r="C44" s="93"/>
      <c r="D44" s="228"/>
      <c r="E44" s="96"/>
      <c r="F44" s="221"/>
    </row>
    <row r="45" spans="1:6" s="5" customFormat="1" ht="78.75" x14ac:dyDescent="0.25">
      <c r="A45" s="40"/>
      <c r="B45" s="24" t="s">
        <v>450</v>
      </c>
      <c r="C45" s="86"/>
      <c r="D45" s="228"/>
      <c r="E45" s="96"/>
      <c r="F45" s="69"/>
    </row>
    <row r="46" spans="1:6" s="5" customFormat="1" ht="63" x14ac:dyDescent="0.25">
      <c r="A46" s="40"/>
      <c r="B46" s="24" t="s">
        <v>451</v>
      </c>
      <c r="C46" s="86"/>
      <c r="D46" s="228"/>
      <c r="E46" s="96"/>
      <c r="F46" s="69"/>
    </row>
    <row r="47" spans="1:6" s="5" customFormat="1" ht="47.25" x14ac:dyDescent="0.25">
      <c r="A47" s="40"/>
      <c r="B47" s="236" t="s">
        <v>452</v>
      </c>
      <c r="C47" s="86" t="s">
        <v>111</v>
      </c>
      <c r="D47" s="228">
        <v>1</v>
      </c>
      <c r="E47" s="96"/>
      <c r="F47" s="69">
        <f t="shared" ref="F47" si="2">D47*E47</f>
        <v>0</v>
      </c>
    </row>
    <row r="48" spans="1:6" s="5" customFormat="1" x14ac:dyDescent="0.25">
      <c r="A48" s="40"/>
      <c r="B48" s="24"/>
      <c r="C48" s="93"/>
      <c r="D48" s="92"/>
      <c r="E48" s="96"/>
      <c r="F48" s="69"/>
    </row>
    <row r="49" spans="1:6" s="5" customFormat="1" x14ac:dyDescent="0.25">
      <c r="A49" s="40">
        <f>COUNT(A$24:A48)+1</f>
        <v>4</v>
      </c>
      <c r="B49" s="165" t="s">
        <v>295</v>
      </c>
      <c r="C49" s="93"/>
      <c r="D49" s="228"/>
      <c r="E49" s="96"/>
      <c r="F49" s="221"/>
    </row>
    <row r="50" spans="1:6" s="5" customFormat="1" ht="31.5" x14ac:dyDescent="0.25">
      <c r="A50" s="40"/>
      <c r="B50" s="24" t="s">
        <v>446</v>
      </c>
      <c r="C50" s="86"/>
      <c r="D50" s="92"/>
      <c r="E50" s="94"/>
      <c r="F50" s="229"/>
    </row>
    <row r="51" spans="1:6" s="5" customFormat="1" x14ac:dyDescent="0.25">
      <c r="A51" s="40"/>
      <c r="B51" s="24" t="s">
        <v>296</v>
      </c>
      <c r="C51" s="86"/>
      <c r="D51" s="92"/>
      <c r="E51" s="94"/>
      <c r="F51" s="229"/>
    </row>
    <row r="52" spans="1:6" s="5" customFormat="1" x14ac:dyDescent="0.25">
      <c r="A52" s="40" t="s">
        <v>116</v>
      </c>
      <c r="B52" s="24" t="s">
        <v>298</v>
      </c>
      <c r="C52" s="86" t="s">
        <v>107</v>
      </c>
      <c r="D52" s="228">
        <v>1</v>
      </c>
      <c r="E52" s="96"/>
      <c r="F52" s="69">
        <f t="shared" ref="F52:F53" si="3">D52*E52</f>
        <v>0</v>
      </c>
    </row>
    <row r="53" spans="1:6" s="5" customFormat="1" x14ac:dyDescent="0.25">
      <c r="A53" s="40" t="s">
        <v>117</v>
      </c>
      <c r="B53" s="24" t="s">
        <v>297</v>
      </c>
      <c r="C53" s="86" t="s">
        <v>107</v>
      </c>
      <c r="D53" s="92">
        <v>1</v>
      </c>
      <c r="E53" s="96"/>
      <c r="F53" s="69">
        <f t="shared" si="3"/>
        <v>0</v>
      </c>
    </row>
    <row r="54" spans="1:6" s="5" customFormat="1" x14ac:dyDescent="0.25">
      <c r="A54" s="40"/>
      <c r="B54" s="24"/>
      <c r="C54" s="93"/>
      <c r="D54" s="92"/>
      <c r="E54" s="96"/>
      <c r="F54" s="69"/>
    </row>
    <row r="55" spans="1:6" s="5" customFormat="1" x14ac:dyDescent="0.25">
      <c r="A55" s="40">
        <f>COUNT(A$24:A54)+1</f>
        <v>5</v>
      </c>
      <c r="B55" s="18" t="s">
        <v>173</v>
      </c>
      <c r="C55" s="93"/>
      <c r="D55" s="92"/>
      <c r="E55" s="96"/>
      <c r="F55" s="74"/>
    </row>
    <row r="56" spans="1:6" s="5" customFormat="1" ht="31.5" x14ac:dyDescent="0.25">
      <c r="A56" s="40"/>
      <c r="B56" s="65" t="s">
        <v>299</v>
      </c>
      <c r="C56" s="93"/>
      <c r="D56" s="92"/>
      <c r="E56" s="96"/>
      <c r="F56" s="74"/>
    </row>
    <row r="57" spans="1:6" s="5" customFormat="1" x14ac:dyDescent="0.25">
      <c r="A57" s="40" t="s">
        <v>116</v>
      </c>
      <c r="B57" s="24" t="s">
        <v>301</v>
      </c>
      <c r="C57" s="93" t="s">
        <v>107</v>
      </c>
      <c r="D57" s="92">
        <v>6</v>
      </c>
      <c r="E57" s="96"/>
      <c r="F57" s="74">
        <f>D57*E57</f>
        <v>0</v>
      </c>
    </row>
    <row r="58" spans="1:6" s="5" customFormat="1" x14ac:dyDescent="0.25">
      <c r="A58" s="40" t="str">
        <f>CHAR(CODE(A57)+1)&amp;")"</f>
        <v>b)</v>
      </c>
      <c r="B58" s="24" t="s">
        <v>302</v>
      </c>
      <c r="C58" s="93" t="s">
        <v>107</v>
      </c>
      <c r="D58" s="92">
        <v>1</v>
      </c>
      <c r="E58" s="96"/>
      <c r="F58" s="74">
        <f>D58*E58</f>
        <v>0</v>
      </c>
    </row>
    <row r="59" spans="1:6" s="5" customFormat="1" x14ac:dyDescent="0.25">
      <c r="A59" s="40"/>
      <c r="B59" s="65"/>
      <c r="C59" s="93"/>
      <c r="D59" s="92"/>
      <c r="E59" s="96"/>
      <c r="F59" s="74"/>
    </row>
    <row r="60" spans="1:6" s="5" customFormat="1" x14ac:dyDescent="0.25">
      <c r="A60" s="40">
        <f>COUNT(A$24:A59)+1</f>
        <v>6</v>
      </c>
      <c r="B60" s="18" t="s">
        <v>172</v>
      </c>
      <c r="C60" s="93"/>
      <c r="D60" s="92"/>
      <c r="E60" s="96"/>
      <c r="F60" s="74"/>
    </row>
    <row r="61" spans="1:6" s="5" customFormat="1" ht="47.25" x14ac:dyDescent="0.25">
      <c r="A61" s="40"/>
      <c r="B61" s="65" t="s">
        <v>300</v>
      </c>
      <c r="C61" s="93"/>
      <c r="D61" s="92"/>
      <c r="E61" s="96"/>
      <c r="F61" s="74"/>
    </row>
    <row r="62" spans="1:6" s="5" customFormat="1" x14ac:dyDescent="0.25">
      <c r="A62" s="40" t="s">
        <v>116</v>
      </c>
      <c r="B62" s="24" t="s">
        <v>303</v>
      </c>
      <c r="C62" s="93" t="s">
        <v>107</v>
      </c>
      <c r="D62" s="92">
        <v>1</v>
      </c>
      <c r="E62" s="96"/>
      <c r="F62" s="74">
        <f>D62*E62</f>
        <v>0</v>
      </c>
    </row>
    <row r="63" spans="1:6" s="5" customFormat="1" x14ac:dyDescent="0.25">
      <c r="A63" s="40"/>
      <c r="B63" s="24"/>
      <c r="C63" s="93"/>
      <c r="D63" s="92"/>
      <c r="E63" s="96"/>
      <c r="F63" s="69"/>
    </row>
    <row r="64" spans="1:6" x14ac:dyDescent="0.25">
      <c r="A64" s="40">
        <f>COUNT(A$24:A63)+1</f>
        <v>7</v>
      </c>
      <c r="B64" s="165" t="s">
        <v>304</v>
      </c>
      <c r="D64" s="92"/>
    </row>
    <row r="65" spans="1:6" ht="63" x14ac:dyDescent="0.25">
      <c r="B65" s="24" t="s">
        <v>305</v>
      </c>
      <c r="D65" s="92"/>
    </row>
    <row r="66" spans="1:6" ht="18" x14ac:dyDescent="0.25">
      <c r="B66" s="24" t="s">
        <v>306</v>
      </c>
      <c r="C66" s="86" t="s">
        <v>108</v>
      </c>
      <c r="D66" s="92">
        <f>1.2*2.5</f>
        <v>3</v>
      </c>
      <c r="F66" s="73">
        <f>D66*E66</f>
        <v>0</v>
      </c>
    </row>
    <row r="67" spans="1:6" x14ac:dyDescent="0.25">
      <c r="B67" s="24"/>
      <c r="D67" s="92"/>
    </row>
    <row r="68" spans="1:6" s="5" customFormat="1" ht="31.5" x14ac:dyDescent="0.25">
      <c r="A68" s="40">
        <f>COUNT(A$24:A67)+1</f>
        <v>8</v>
      </c>
      <c r="B68" s="18" t="s">
        <v>307</v>
      </c>
      <c r="C68" s="93"/>
      <c r="D68" s="92"/>
      <c r="E68" s="96"/>
      <c r="F68" s="74"/>
    </row>
    <row r="69" spans="1:6" s="5" customFormat="1" ht="47.25" x14ac:dyDescent="0.25">
      <c r="A69" s="40"/>
      <c r="B69" s="65" t="s">
        <v>183</v>
      </c>
      <c r="C69" s="93"/>
      <c r="D69" s="92"/>
      <c r="E69" s="96"/>
      <c r="F69" s="74"/>
    </row>
    <row r="70" spans="1:6" s="5" customFormat="1" ht="31.5" x14ac:dyDescent="0.25">
      <c r="A70" s="40" t="s">
        <v>116</v>
      </c>
      <c r="B70" s="24" t="s">
        <v>315</v>
      </c>
      <c r="C70" s="93" t="s">
        <v>115</v>
      </c>
      <c r="D70" s="92">
        <v>40</v>
      </c>
      <c r="E70" s="96"/>
      <c r="F70" s="74">
        <f>D70*E70</f>
        <v>0</v>
      </c>
    </row>
    <row r="71" spans="1:6" s="5" customFormat="1" x14ac:dyDescent="0.25">
      <c r="A71" s="40" t="str">
        <f>CHAR(CODE(A70)+1)&amp;")"</f>
        <v>b)</v>
      </c>
      <c r="B71" s="24" t="s">
        <v>308</v>
      </c>
      <c r="C71" s="93" t="s">
        <v>115</v>
      </c>
      <c r="D71" s="92">
        <v>60</v>
      </c>
      <c r="E71" s="96"/>
      <c r="F71" s="74">
        <f>D71*E71</f>
        <v>0</v>
      </c>
    </row>
    <row r="72" spans="1:6" x14ac:dyDescent="0.25">
      <c r="B72" s="24"/>
      <c r="D72" s="92"/>
    </row>
    <row r="73" spans="1:6" s="5" customFormat="1" x14ac:dyDescent="0.25">
      <c r="A73" s="40">
        <f>COUNT(A$24:A72)+1</f>
        <v>9</v>
      </c>
      <c r="B73" s="165" t="s">
        <v>389</v>
      </c>
      <c r="C73" s="93"/>
      <c r="D73" s="92"/>
      <c r="E73" s="96"/>
      <c r="F73" s="74"/>
    </row>
    <row r="74" spans="1:6" s="5" customFormat="1" ht="47.25" x14ac:dyDescent="0.25">
      <c r="A74" s="40"/>
      <c r="B74" s="24" t="s">
        <v>390</v>
      </c>
      <c r="C74" s="93" t="s">
        <v>115</v>
      </c>
      <c r="D74" s="92">
        <f>ROUNDUP((2.3+3.7+3.6)*4.85,0)</f>
        <v>47</v>
      </c>
      <c r="E74" s="96"/>
      <c r="F74" s="74">
        <f>D74*E74</f>
        <v>0</v>
      </c>
    </row>
    <row r="75" spans="1:6" x14ac:dyDescent="0.25">
      <c r="B75" s="24"/>
      <c r="D75" s="92"/>
    </row>
    <row r="76" spans="1:6" s="5" customFormat="1" ht="31.5" x14ac:dyDescent="0.25">
      <c r="A76" s="40">
        <f>COUNT(A$24:A75)+1</f>
        <v>10</v>
      </c>
      <c r="B76" s="18" t="s">
        <v>381</v>
      </c>
      <c r="C76" s="93"/>
      <c r="D76" s="92"/>
      <c r="E76" s="96"/>
      <c r="F76" s="74"/>
    </row>
    <row r="77" spans="1:6" s="5" customFormat="1" ht="47.25" x14ac:dyDescent="0.25">
      <c r="A77" s="40"/>
      <c r="B77" s="65" t="s">
        <v>388</v>
      </c>
      <c r="C77" s="93"/>
      <c r="D77" s="92"/>
      <c r="E77" s="96"/>
      <c r="F77" s="74"/>
    </row>
    <row r="78" spans="1:6" s="5" customFormat="1" x14ac:dyDescent="0.25">
      <c r="A78" s="40"/>
      <c r="B78" s="24" t="s">
        <v>382</v>
      </c>
      <c r="C78" s="93" t="s">
        <v>115</v>
      </c>
      <c r="D78" s="92">
        <f>D91+D86</f>
        <v>170</v>
      </c>
      <c r="E78" s="96"/>
      <c r="F78" s="74">
        <f>D78*E78</f>
        <v>0</v>
      </c>
    </row>
    <row r="79" spans="1:6" x14ac:dyDescent="0.25">
      <c r="A79" s="104"/>
      <c r="B79" s="163"/>
      <c r="C79" s="217"/>
      <c r="D79" s="164"/>
      <c r="E79" s="218"/>
      <c r="F79" s="219"/>
    </row>
    <row r="80" spans="1:6" s="5" customFormat="1" ht="31.5" x14ac:dyDescent="0.25">
      <c r="A80" s="40">
        <f>COUNT(A$24:A79)+1</f>
        <v>11</v>
      </c>
      <c r="B80" s="18" t="s">
        <v>380</v>
      </c>
      <c r="C80" s="93"/>
      <c r="D80" s="92"/>
      <c r="E80" s="96"/>
      <c r="F80" s="74"/>
    </row>
    <row r="81" spans="1:6" s="5" customFormat="1" ht="31.5" x14ac:dyDescent="0.25">
      <c r="A81" s="40"/>
      <c r="B81" s="65" t="s">
        <v>379</v>
      </c>
      <c r="C81" s="93"/>
      <c r="D81" s="92"/>
      <c r="E81" s="96"/>
      <c r="F81" s="74"/>
    </row>
    <row r="82" spans="1:6" s="5" customFormat="1" x14ac:dyDescent="0.25">
      <c r="A82" s="40"/>
      <c r="B82" s="24" t="s">
        <v>445</v>
      </c>
      <c r="C82" s="93" t="s">
        <v>106</v>
      </c>
      <c r="D82" s="92">
        <v>40</v>
      </c>
      <c r="E82" s="96"/>
      <c r="F82" s="74">
        <f>D82*E82</f>
        <v>0</v>
      </c>
    </row>
    <row r="83" spans="1:6" x14ac:dyDescent="0.25">
      <c r="B83" s="24"/>
      <c r="D83" s="92"/>
      <c r="F83" s="170"/>
    </row>
    <row r="84" spans="1:6" s="5" customFormat="1" x14ac:dyDescent="0.25">
      <c r="A84" s="40">
        <f>COUNT(A$24:A83)+1</f>
        <v>12</v>
      </c>
      <c r="B84" s="165" t="s">
        <v>119</v>
      </c>
      <c r="C84" s="93"/>
      <c r="D84" s="92"/>
      <c r="E84" s="96"/>
      <c r="F84" s="74"/>
    </row>
    <row r="85" spans="1:6" s="5" customFormat="1" ht="78.75" x14ac:dyDescent="0.25">
      <c r="A85" s="40"/>
      <c r="B85" s="24" t="s">
        <v>314</v>
      </c>
      <c r="F85" s="174"/>
    </row>
    <row r="86" spans="1:6" s="5" customFormat="1" x14ac:dyDescent="0.25">
      <c r="A86" s="40" t="s">
        <v>116</v>
      </c>
      <c r="B86" s="24" t="s">
        <v>120</v>
      </c>
      <c r="C86" s="93" t="s">
        <v>115</v>
      </c>
      <c r="D86" s="92">
        <f>ROUNDUP(7.1*2.5+5.5*2.1,0)</f>
        <v>30</v>
      </c>
      <c r="E86" s="96"/>
      <c r="F86" s="74">
        <f>E86*D86</f>
        <v>0</v>
      </c>
    </row>
    <row r="87" spans="1:6" s="5" customFormat="1" x14ac:dyDescent="0.25">
      <c r="A87" s="40" t="str">
        <f>CHAR(CODE(A86)+1)&amp;")"</f>
        <v>b)</v>
      </c>
      <c r="B87" s="24" t="s">
        <v>121</v>
      </c>
      <c r="C87" s="93" t="s">
        <v>106</v>
      </c>
      <c r="D87" s="92">
        <f>5.6+21.9</f>
        <v>27.5</v>
      </c>
      <c r="E87" s="96"/>
      <c r="F87" s="74">
        <f>E87*D87</f>
        <v>0</v>
      </c>
    </row>
    <row r="88" spans="1:6" s="5" customFormat="1" x14ac:dyDescent="0.25">
      <c r="A88" s="40"/>
      <c r="B88" s="65"/>
      <c r="C88" s="93"/>
      <c r="D88" s="92"/>
      <c r="E88" s="96"/>
      <c r="F88" s="74"/>
    </row>
    <row r="89" spans="1:6" s="5" customFormat="1" x14ac:dyDescent="0.25">
      <c r="A89" s="40">
        <f>COUNT(A$24:A88)+1</f>
        <v>13</v>
      </c>
      <c r="B89" s="165" t="s">
        <v>375</v>
      </c>
      <c r="C89" s="93"/>
      <c r="D89" s="92"/>
      <c r="E89" s="96"/>
      <c r="F89" s="74"/>
    </row>
    <row r="90" spans="1:6" s="5" customFormat="1" ht="47.25" x14ac:dyDescent="0.25">
      <c r="A90" s="40"/>
      <c r="B90" s="24" t="s">
        <v>309</v>
      </c>
    </row>
    <row r="91" spans="1:6" s="5" customFormat="1" x14ac:dyDescent="0.25">
      <c r="A91" s="40"/>
      <c r="B91" s="24" t="s">
        <v>376</v>
      </c>
      <c r="C91" s="93" t="s">
        <v>115</v>
      </c>
      <c r="D91" s="92">
        <f>ROUNDUP(35*4.85-D86,0)</f>
        <v>140</v>
      </c>
      <c r="E91" s="96"/>
      <c r="F91" s="74">
        <f>D91*E91</f>
        <v>0</v>
      </c>
    </row>
    <row r="92" spans="1:6" s="5" customFormat="1" x14ac:dyDescent="0.25">
      <c r="A92" s="40"/>
      <c r="B92" s="65"/>
      <c r="C92" s="93"/>
      <c r="D92" s="92"/>
      <c r="E92" s="96"/>
      <c r="F92" s="74"/>
    </row>
    <row r="93" spans="1:6" s="5" customFormat="1" x14ac:dyDescent="0.25">
      <c r="A93" s="40">
        <f>COUNT(A$24:A91)+1</f>
        <v>14</v>
      </c>
      <c r="B93" s="165" t="s">
        <v>124</v>
      </c>
      <c r="C93" s="93"/>
      <c r="D93" s="92"/>
      <c r="E93" s="96"/>
      <c r="F93" s="74"/>
    </row>
    <row r="94" spans="1:6" s="5" customFormat="1" x14ac:dyDescent="0.25">
      <c r="A94" s="40"/>
      <c r="B94" s="24" t="s">
        <v>311</v>
      </c>
      <c r="C94" s="93"/>
      <c r="D94" s="92"/>
      <c r="E94" s="96"/>
      <c r="F94" s="74"/>
    </row>
    <row r="95" spans="1:6" s="5" customFormat="1" x14ac:dyDescent="0.25">
      <c r="A95" s="40"/>
      <c r="B95" s="24" t="s">
        <v>312</v>
      </c>
      <c r="C95" s="93"/>
      <c r="D95" s="92"/>
      <c r="E95" s="96"/>
      <c r="F95" s="74"/>
    </row>
    <row r="96" spans="1:6" s="5" customFormat="1" x14ac:dyDescent="0.25">
      <c r="A96" s="40" t="s">
        <v>116</v>
      </c>
      <c r="B96" s="24" t="s">
        <v>125</v>
      </c>
      <c r="C96" s="93" t="s">
        <v>115</v>
      </c>
      <c r="D96" s="92">
        <v>42</v>
      </c>
      <c r="E96" s="96"/>
      <c r="F96" s="74">
        <f>D96*E96</f>
        <v>0</v>
      </c>
    </row>
    <row r="97" spans="1:18" s="5" customFormat="1" x14ac:dyDescent="0.25">
      <c r="A97" s="40" t="str">
        <f>CHAR(CODE(A96)+1)&amp;")"</f>
        <v>b)</v>
      </c>
      <c r="B97" s="24" t="s">
        <v>310</v>
      </c>
      <c r="C97" s="93" t="s">
        <v>115</v>
      </c>
      <c r="D97" s="92">
        <v>15</v>
      </c>
      <c r="E97" s="96"/>
      <c r="F97" s="74">
        <f>D97*E97</f>
        <v>0</v>
      </c>
    </row>
    <row r="98" spans="1:18" s="5" customFormat="1" ht="18" x14ac:dyDescent="0.25">
      <c r="A98" s="40" t="str">
        <f>CHAR(CODE(A97)+1)&amp;")"</f>
        <v>c)</v>
      </c>
      <c r="B98" s="24" t="s">
        <v>126</v>
      </c>
      <c r="C98" s="93" t="s">
        <v>123</v>
      </c>
      <c r="D98" s="92">
        <v>3</v>
      </c>
      <c r="E98" s="96"/>
      <c r="F98" s="74">
        <f>D98*E98</f>
        <v>0</v>
      </c>
    </row>
    <row r="99" spans="1:18" s="171" customFormat="1" x14ac:dyDescent="0.25">
      <c r="A99" s="172"/>
      <c r="B99" s="173"/>
      <c r="C99" s="167"/>
      <c r="D99" s="168"/>
      <c r="E99" s="169"/>
      <c r="F99" s="170"/>
    </row>
    <row r="100" spans="1:18" x14ac:dyDescent="0.25">
      <c r="A100" s="40">
        <f>COUNT(A$24:A99)+1</f>
        <v>15</v>
      </c>
      <c r="B100" s="165" t="s">
        <v>357</v>
      </c>
      <c r="D100" s="92"/>
      <c r="G100" s="5"/>
      <c r="H100" s="5"/>
      <c r="I100" s="5"/>
      <c r="J100" s="5"/>
      <c r="K100" s="5"/>
      <c r="L100" s="5"/>
      <c r="M100" s="5"/>
      <c r="N100" s="5"/>
      <c r="O100" s="5"/>
      <c r="P100" s="5"/>
      <c r="Q100" s="5"/>
      <c r="R100" s="5"/>
    </row>
    <row r="101" spans="1:18" ht="31.5" x14ac:dyDescent="0.25">
      <c r="B101" s="24" t="s">
        <v>356</v>
      </c>
      <c r="C101" s="86" t="s">
        <v>106</v>
      </c>
      <c r="D101" s="92">
        <f>ROUNDUP(2.03+0.65+1+0.3,0)</f>
        <v>4</v>
      </c>
      <c r="F101" s="73">
        <f>D101*E101</f>
        <v>0</v>
      </c>
      <c r="G101" s="5"/>
      <c r="H101" s="5"/>
      <c r="I101" s="5"/>
      <c r="J101" s="5"/>
      <c r="K101" s="5"/>
      <c r="L101" s="5"/>
      <c r="M101" s="5"/>
      <c r="N101" s="5"/>
      <c r="O101" s="5"/>
      <c r="P101" s="5"/>
      <c r="Q101" s="5"/>
      <c r="R101" s="5"/>
    </row>
    <row r="102" spans="1:18" s="5" customFormat="1" x14ac:dyDescent="0.25">
      <c r="A102" s="40"/>
      <c r="B102" s="24"/>
      <c r="C102" s="93"/>
      <c r="D102" s="92"/>
      <c r="E102" s="96"/>
      <c r="F102" s="74"/>
    </row>
    <row r="103" spans="1:18" x14ac:dyDescent="0.25">
      <c r="A103" s="40">
        <f>COUNT(A$24:A102)+1</f>
        <v>16</v>
      </c>
      <c r="B103" s="165" t="s">
        <v>235</v>
      </c>
      <c r="D103" s="92"/>
      <c r="G103" s="5"/>
      <c r="H103" s="5"/>
      <c r="I103" s="5"/>
      <c r="J103" s="5"/>
      <c r="K103" s="5"/>
      <c r="L103" s="5"/>
      <c r="M103" s="5"/>
      <c r="N103" s="5"/>
      <c r="O103" s="5"/>
      <c r="P103" s="5"/>
      <c r="Q103" s="5"/>
      <c r="R103" s="5"/>
    </row>
    <row r="104" spans="1:18" ht="47.25" x14ac:dyDescent="0.25">
      <c r="B104" s="24" t="s">
        <v>313</v>
      </c>
      <c r="C104" s="1"/>
      <c r="D104" s="1"/>
      <c r="E104" s="1"/>
      <c r="F104" s="1"/>
      <c r="G104" s="5"/>
      <c r="H104" s="5"/>
      <c r="I104" s="5"/>
      <c r="J104" s="5"/>
      <c r="K104" s="5"/>
      <c r="L104" s="5"/>
      <c r="M104" s="5"/>
      <c r="N104" s="5"/>
      <c r="O104" s="5"/>
      <c r="P104" s="5"/>
      <c r="Q104" s="5"/>
      <c r="R104" s="5"/>
    </row>
    <row r="105" spans="1:18" x14ac:dyDescent="0.25">
      <c r="A105" s="38" t="s">
        <v>116</v>
      </c>
      <c r="B105" s="24" t="s">
        <v>236</v>
      </c>
      <c r="C105" s="86" t="s">
        <v>106</v>
      </c>
      <c r="D105" s="92">
        <v>1</v>
      </c>
      <c r="F105" s="73">
        <f>D105*E105</f>
        <v>0</v>
      </c>
      <c r="G105" s="5"/>
      <c r="H105" s="5"/>
      <c r="I105" s="5"/>
      <c r="J105" s="5"/>
      <c r="K105" s="5"/>
      <c r="L105" s="5"/>
      <c r="M105" s="5"/>
      <c r="N105" s="5"/>
      <c r="O105" s="5"/>
      <c r="P105" s="5"/>
      <c r="Q105" s="5"/>
      <c r="R105" s="5"/>
    </row>
    <row r="106" spans="1:18" x14ac:dyDescent="0.25">
      <c r="A106" s="40" t="str">
        <f>CHAR(CODE(A105)+1)&amp;")"</f>
        <v>b)</v>
      </c>
      <c r="B106" s="24" t="s">
        <v>237</v>
      </c>
      <c r="C106" s="86" t="s">
        <v>106</v>
      </c>
      <c r="D106" s="92">
        <f>ROUNDUP(1.6+4,0)</f>
        <v>6</v>
      </c>
      <c r="F106" s="73">
        <f>D106*E106</f>
        <v>0</v>
      </c>
      <c r="G106" s="5"/>
      <c r="H106" s="5"/>
      <c r="I106" s="5"/>
      <c r="J106" s="5"/>
      <c r="K106" s="5"/>
      <c r="L106" s="5"/>
      <c r="M106" s="5"/>
      <c r="N106" s="5"/>
      <c r="O106" s="5"/>
      <c r="P106" s="5"/>
      <c r="Q106" s="5"/>
      <c r="R106" s="5"/>
    </row>
    <row r="107" spans="1:18" x14ac:dyDescent="0.25">
      <c r="B107" s="24"/>
      <c r="D107" s="92"/>
      <c r="G107" s="5"/>
      <c r="H107" s="5"/>
      <c r="I107" s="5"/>
      <c r="J107" s="5"/>
      <c r="K107" s="5"/>
      <c r="L107" s="5"/>
      <c r="M107" s="5"/>
      <c r="N107" s="5"/>
      <c r="O107" s="5"/>
      <c r="P107" s="5"/>
      <c r="Q107" s="5"/>
      <c r="R107" s="5"/>
    </row>
    <row r="108" spans="1:18" x14ac:dyDescent="0.25">
      <c r="A108" s="40">
        <f>COUNT(A$24:A107)+1</f>
        <v>17</v>
      </c>
      <c r="B108" s="165" t="s">
        <v>374</v>
      </c>
      <c r="D108" s="92"/>
      <c r="G108" s="5"/>
      <c r="H108" s="5"/>
      <c r="I108" s="5"/>
      <c r="J108" s="5"/>
      <c r="K108" s="5"/>
      <c r="L108" s="5"/>
      <c r="M108" s="5"/>
      <c r="N108" s="5"/>
      <c r="O108" s="5"/>
      <c r="P108" s="5"/>
      <c r="Q108" s="5"/>
      <c r="R108" s="5"/>
    </row>
    <row r="109" spans="1:18" ht="47.25" x14ac:dyDescent="0.25">
      <c r="B109" s="24" t="s">
        <v>439</v>
      </c>
      <c r="C109" s="86" t="s">
        <v>107</v>
      </c>
      <c r="D109" s="92">
        <v>2</v>
      </c>
      <c r="F109" s="73">
        <f>D109*E109</f>
        <v>0</v>
      </c>
      <c r="G109" s="5"/>
      <c r="H109" s="5"/>
      <c r="I109" s="5"/>
      <c r="J109" s="5"/>
      <c r="K109" s="5"/>
      <c r="L109" s="5"/>
      <c r="M109" s="5"/>
      <c r="N109" s="5"/>
      <c r="O109" s="5"/>
      <c r="P109" s="5"/>
      <c r="Q109" s="5"/>
      <c r="R109" s="5"/>
    </row>
    <row r="110" spans="1:18" s="5" customFormat="1" x14ac:dyDescent="0.25">
      <c r="A110" s="40"/>
      <c r="B110" s="24"/>
      <c r="C110" s="93"/>
      <c r="D110" s="92"/>
      <c r="E110" s="96"/>
      <c r="F110" s="74"/>
    </row>
    <row r="111" spans="1:18" x14ac:dyDescent="0.25">
      <c r="A111" s="40">
        <f>COUNT($A$24:A110)+1</f>
        <v>18</v>
      </c>
      <c r="B111" s="165" t="s">
        <v>434</v>
      </c>
      <c r="D111" s="92"/>
      <c r="G111" s="5"/>
      <c r="H111" s="5"/>
      <c r="I111" s="5"/>
      <c r="J111" s="5"/>
      <c r="K111" s="5"/>
      <c r="L111" s="5"/>
      <c r="M111" s="5"/>
      <c r="N111" s="5"/>
      <c r="O111" s="5"/>
      <c r="P111" s="5"/>
      <c r="Q111" s="5"/>
      <c r="R111" s="5"/>
    </row>
    <row r="112" spans="1:18" ht="47.25" x14ac:dyDescent="0.25">
      <c r="B112" s="24" t="s">
        <v>435</v>
      </c>
      <c r="C112" s="86" t="s">
        <v>107</v>
      </c>
      <c r="D112" s="92">
        <v>2</v>
      </c>
      <c r="F112" s="73">
        <f>D112*E112</f>
        <v>0</v>
      </c>
      <c r="G112" s="5"/>
      <c r="H112" s="5"/>
      <c r="I112" s="5"/>
      <c r="J112" s="5"/>
      <c r="K112" s="5"/>
      <c r="L112" s="5"/>
      <c r="M112" s="5"/>
      <c r="N112" s="5"/>
      <c r="O112" s="5"/>
      <c r="P112" s="5"/>
      <c r="Q112" s="5"/>
      <c r="R112" s="5"/>
    </row>
    <row r="113" spans="1:6" x14ac:dyDescent="0.25">
      <c r="B113" s="22"/>
    </row>
    <row r="114" spans="1:6" ht="31.5" x14ac:dyDescent="0.25">
      <c r="A114" s="39"/>
      <c r="B114" s="21" t="str">
        <f>"UKUPNO - "&amp;TEXT(A24,) &amp;" " &amp;TEXT(B24,)&amp;" (€):"</f>
        <v>UKUPNO - A.2. RADOVI DEMONTAŽE, RAZGRADNJE I UKLANJANJA (€):</v>
      </c>
      <c r="C114" s="82"/>
      <c r="D114" s="83"/>
      <c r="E114" s="98"/>
      <c r="F114" s="72">
        <f>SUM(F24:F113)</f>
        <v>0</v>
      </c>
    </row>
    <row r="115" spans="1:6" x14ac:dyDescent="0.25">
      <c r="B115" s="20"/>
      <c r="C115" s="80"/>
      <c r="D115" s="81"/>
      <c r="E115" s="95"/>
      <c r="F115" s="72"/>
    </row>
    <row r="116" spans="1:6" x14ac:dyDescent="0.25">
      <c r="B116" s="20"/>
      <c r="C116" s="80"/>
      <c r="D116" s="81"/>
      <c r="E116" s="95"/>
      <c r="F116" s="72"/>
    </row>
    <row r="117" spans="1:6" x14ac:dyDescent="0.25">
      <c r="A117" s="39" t="str">
        <f>TEXT($A$7,)&amp;"3."</f>
        <v>A.3.</v>
      </c>
      <c r="B117" s="21" t="s">
        <v>0</v>
      </c>
      <c r="C117" s="82"/>
      <c r="D117" s="83"/>
      <c r="E117" s="98"/>
      <c r="F117" s="70"/>
    </row>
    <row r="118" spans="1:6" x14ac:dyDescent="0.25">
      <c r="B118" s="20"/>
      <c r="C118" s="80"/>
      <c r="D118" s="81"/>
      <c r="E118" s="95"/>
      <c r="F118" s="72"/>
    </row>
    <row r="119" spans="1:6" s="5" customFormat="1" x14ac:dyDescent="0.25">
      <c r="A119" s="40">
        <f>COUNT(A$117:A118)+1</f>
        <v>1</v>
      </c>
      <c r="B119" s="18" t="s">
        <v>127</v>
      </c>
      <c r="C119" s="93"/>
      <c r="D119" s="92"/>
      <c r="E119" s="96"/>
      <c r="F119" s="74"/>
    </row>
    <row r="120" spans="1:6" s="5" customFormat="1" ht="78.75" x14ac:dyDescent="0.25">
      <c r="A120" s="40"/>
      <c r="B120" s="65" t="s">
        <v>391</v>
      </c>
      <c r="C120" s="93"/>
      <c r="D120" s="92"/>
      <c r="E120" s="96"/>
      <c r="F120" s="74"/>
    </row>
    <row r="121" spans="1:6" s="5" customFormat="1" x14ac:dyDescent="0.25">
      <c r="A121" s="40"/>
      <c r="B121" s="24" t="s">
        <v>316</v>
      </c>
      <c r="C121" s="93" t="s">
        <v>107</v>
      </c>
      <c r="D121" s="92">
        <v>1</v>
      </c>
      <c r="E121" s="96"/>
      <c r="F121" s="74">
        <f>D121*E121</f>
        <v>0</v>
      </c>
    </row>
    <row r="122" spans="1:6" s="5" customFormat="1" x14ac:dyDescent="0.25">
      <c r="A122" s="40"/>
      <c r="B122" s="65"/>
      <c r="C122" s="93"/>
      <c r="D122" s="92"/>
      <c r="E122" s="96"/>
      <c r="F122" s="74"/>
    </row>
    <row r="123" spans="1:6" s="5" customFormat="1" x14ac:dyDescent="0.25">
      <c r="A123" s="40">
        <f>COUNT(A$117:A122)+1</f>
        <v>2</v>
      </c>
      <c r="B123" s="18" t="s">
        <v>128</v>
      </c>
      <c r="C123" s="93"/>
      <c r="D123" s="92"/>
      <c r="E123" s="96"/>
      <c r="F123" s="74"/>
    </row>
    <row r="124" spans="1:6" s="5" customFormat="1" ht="63" x14ac:dyDescent="0.25">
      <c r="A124" s="40"/>
      <c r="B124" s="65" t="s">
        <v>317</v>
      </c>
      <c r="C124" s="93" t="s">
        <v>107</v>
      </c>
      <c r="D124" s="92">
        <f>D109</f>
        <v>2</v>
      </c>
      <c r="E124" s="96"/>
      <c r="F124" s="74">
        <f>D124*E124</f>
        <v>0</v>
      </c>
    </row>
    <row r="125" spans="1:6" x14ac:dyDescent="0.25">
      <c r="A125" s="104"/>
      <c r="B125" s="64"/>
      <c r="C125" s="90"/>
      <c r="D125" s="91"/>
      <c r="E125" s="126"/>
      <c r="F125" s="75"/>
    </row>
    <row r="126" spans="1:6" ht="31.5" x14ac:dyDescent="0.25">
      <c r="A126" s="39"/>
      <c r="B126" s="21" t="str">
        <f>"UKUPNO - "&amp;TEXT(A117,) &amp;" " &amp;TEXT(B117,)&amp;" (€):"</f>
        <v>UKUPNO - A.3. BETONSKI I ARMIRANOBETONSKI RADOVI (€):</v>
      </c>
      <c r="C126" s="82"/>
      <c r="D126" s="83"/>
      <c r="E126" s="97"/>
      <c r="F126" s="72">
        <f>SUM(F117:F125)</f>
        <v>0</v>
      </c>
    </row>
    <row r="127" spans="1:6" s="5" customFormat="1" x14ac:dyDescent="0.25">
      <c r="A127" s="40"/>
      <c r="B127" s="18"/>
      <c r="C127" s="84"/>
      <c r="D127" s="85"/>
      <c r="E127" s="96"/>
      <c r="F127" s="71"/>
    </row>
    <row r="128" spans="1:6" x14ac:dyDescent="0.25">
      <c r="B128" s="20"/>
      <c r="C128" s="80"/>
      <c r="F128" s="72"/>
    </row>
    <row r="129" spans="1:6" x14ac:dyDescent="0.25">
      <c r="A129" s="39" t="str">
        <f>TEXT($A$7,)&amp;"4."</f>
        <v>A.4.</v>
      </c>
      <c r="B129" s="21" t="s">
        <v>69</v>
      </c>
      <c r="C129" s="82"/>
      <c r="D129" s="83"/>
      <c r="E129" s="97"/>
      <c r="F129" s="70"/>
    </row>
    <row r="130" spans="1:6" x14ac:dyDescent="0.25">
      <c r="B130" s="20"/>
      <c r="F130" s="72"/>
    </row>
    <row r="131" spans="1:6" x14ac:dyDescent="0.25">
      <c r="A131" s="40">
        <f>COUNT(A$129:A130)+1</f>
        <v>1</v>
      </c>
      <c r="B131" s="20" t="s">
        <v>344</v>
      </c>
      <c r="D131" s="92"/>
    </row>
    <row r="132" spans="1:6" ht="141.75" x14ac:dyDescent="0.25">
      <c r="B132" s="19" t="s">
        <v>436</v>
      </c>
      <c r="D132" s="92"/>
    </row>
    <row r="133" spans="1:6" ht="18" x14ac:dyDescent="0.25">
      <c r="A133" s="40" t="s">
        <v>116</v>
      </c>
      <c r="B133" s="24" t="s">
        <v>120</v>
      </c>
      <c r="C133" s="86" t="s">
        <v>108</v>
      </c>
      <c r="D133" s="92">
        <f>D91+D86</f>
        <v>170</v>
      </c>
      <c r="F133" s="73">
        <f>D133*E133</f>
        <v>0</v>
      </c>
    </row>
    <row r="134" spans="1:6" s="171" customFormat="1" x14ac:dyDescent="0.25">
      <c r="A134" s="166"/>
      <c r="B134" s="24"/>
      <c r="C134" s="167"/>
      <c r="D134" s="168"/>
      <c r="E134" s="169"/>
      <c r="F134" s="170"/>
    </row>
    <row r="135" spans="1:6" s="171" customFormat="1" x14ac:dyDescent="0.25">
      <c r="A135" s="40">
        <f>COUNT(A$129:A133)+1</f>
        <v>2</v>
      </c>
      <c r="B135" s="23" t="s">
        <v>130</v>
      </c>
      <c r="C135" s="167"/>
      <c r="D135" s="176"/>
      <c r="E135" s="169"/>
      <c r="F135" s="177"/>
    </row>
    <row r="136" spans="1:6" s="171" customFormat="1" ht="141.75" x14ac:dyDescent="0.25">
      <c r="A136" s="166"/>
      <c r="B136" s="175" t="s">
        <v>318</v>
      </c>
      <c r="C136" s="167"/>
      <c r="D136" s="176"/>
      <c r="E136" s="169"/>
      <c r="F136" s="170"/>
    </row>
    <row r="137" spans="1:6" s="171" customFormat="1" ht="18" x14ac:dyDescent="0.25">
      <c r="A137" s="166"/>
      <c r="B137" s="19" t="s">
        <v>129</v>
      </c>
      <c r="C137" s="86" t="s">
        <v>108</v>
      </c>
      <c r="D137" s="92">
        <f>D96</f>
        <v>42</v>
      </c>
      <c r="E137" s="94"/>
      <c r="F137" s="73">
        <f>D137*E137</f>
        <v>0</v>
      </c>
    </row>
    <row r="138" spans="1:6" s="171" customFormat="1" x14ac:dyDescent="0.25">
      <c r="A138" s="166"/>
      <c r="B138" s="178"/>
      <c r="C138" s="86"/>
      <c r="D138" s="92"/>
      <c r="E138" s="94"/>
      <c r="F138" s="73"/>
    </row>
    <row r="139" spans="1:6" s="171" customFormat="1" x14ac:dyDescent="0.25">
      <c r="A139" s="40">
        <f>COUNT(A$129:A138)+1</f>
        <v>3</v>
      </c>
      <c r="B139" s="23" t="s">
        <v>131</v>
      </c>
      <c r="C139" s="167"/>
      <c r="D139" s="168"/>
      <c r="E139" s="169"/>
      <c r="F139" s="170"/>
    </row>
    <row r="140" spans="1:6" ht="47.25" x14ac:dyDescent="0.25">
      <c r="B140" s="19" t="s">
        <v>383</v>
      </c>
    </row>
    <row r="141" spans="1:6" s="4" customFormat="1" x14ac:dyDescent="0.25">
      <c r="A141" s="38"/>
      <c r="B141" s="19" t="s">
        <v>132</v>
      </c>
      <c r="C141" s="86" t="s">
        <v>106</v>
      </c>
      <c r="D141" s="92">
        <f>D105+D106+D101</f>
        <v>11</v>
      </c>
      <c r="E141" s="94"/>
      <c r="F141" s="73">
        <f>D141*E141</f>
        <v>0</v>
      </c>
    </row>
    <row r="142" spans="1:6" s="4" customFormat="1" x14ac:dyDescent="0.25">
      <c r="A142" s="38"/>
      <c r="B142" s="19"/>
      <c r="C142" s="86"/>
      <c r="D142" s="87"/>
      <c r="E142" s="94"/>
      <c r="F142" s="73"/>
    </row>
    <row r="143" spans="1:6" x14ac:dyDescent="0.25">
      <c r="A143" s="39"/>
      <c r="B143" s="21" t="str">
        <f>"UKUPNO - "&amp;TEXT(A129,) &amp;" " &amp;TEXT(B129,)&amp;" (€):"</f>
        <v>UKUPNO - A.4.  ZIDARSKI RADOVI (€):</v>
      </c>
      <c r="C143" s="82"/>
      <c r="D143" s="83"/>
      <c r="E143" s="98"/>
      <c r="F143" s="72">
        <f>SUM(F129:F142)</f>
        <v>0</v>
      </c>
    </row>
    <row r="144" spans="1:6" s="5" customFormat="1" x14ac:dyDescent="0.25">
      <c r="A144" s="40"/>
      <c r="B144" s="18"/>
      <c r="C144" s="84"/>
      <c r="D144" s="85"/>
      <c r="E144" s="125"/>
      <c r="F144" s="71"/>
    </row>
    <row r="145" spans="1:6" x14ac:dyDescent="0.25">
      <c r="B145" s="20"/>
      <c r="F145" s="72"/>
    </row>
    <row r="146" spans="1:6" x14ac:dyDescent="0.25">
      <c r="A146" s="39" t="str">
        <f>TEXT($A$7,)&amp;"5."</f>
        <v>A.5.</v>
      </c>
      <c r="B146" s="21" t="s">
        <v>7</v>
      </c>
      <c r="C146" s="82"/>
      <c r="D146" s="83"/>
      <c r="E146" s="97"/>
      <c r="F146" s="70"/>
    </row>
    <row r="147" spans="1:6" s="5" customFormat="1" x14ac:dyDescent="0.25">
      <c r="A147" s="40"/>
      <c r="B147" s="18"/>
      <c r="C147" s="84"/>
      <c r="D147" s="85"/>
      <c r="E147" s="96"/>
      <c r="F147" s="71"/>
    </row>
    <row r="148" spans="1:6" x14ac:dyDescent="0.25">
      <c r="A148" s="40">
        <f>COUNT(A$146:A147)+1</f>
        <v>1</v>
      </c>
      <c r="B148" s="20" t="s">
        <v>377</v>
      </c>
      <c r="F148" s="72"/>
    </row>
    <row r="149" spans="1:6" ht="110.25" x14ac:dyDescent="0.25">
      <c r="B149" s="19" t="s">
        <v>378</v>
      </c>
    </row>
    <row r="150" spans="1:6" x14ac:dyDescent="0.25">
      <c r="B150" s="24" t="s">
        <v>319</v>
      </c>
      <c r="C150" s="87" t="s">
        <v>115</v>
      </c>
      <c r="D150" s="87">
        <f>D137</f>
        <v>42</v>
      </c>
      <c r="F150" s="73">
        <f>D150*E150</f>
        <v>0</v>
      </c>
    </row>
    <row r="151" spans="1:6" s="5" customFormat="1" x14ac:dyDescent="0.25">
      <c r="A151" s="40"/>
      <c r="B151" s="65"/>
      <c r="C151" s="93"/>
      <c r="D151" s="92"/>
      <c r="E151" s="96"/>
      <c r="F151" s="74"/>
    </row>
    <row r="152" spans="1:6" s="5" customFormat="1" x14ac:dyDescent="0.25">
      <c r="A152" s="40">
        <f>COUNT(A$146:A151)+1</f>
        <v>2</v>
      </c>
      <c r="B152" s="18" t="s">
        <v>134</v>
      </c>
      <c r="C152" s="93"/>
      <c r="D152" s="92"/>
      <c r="E152" s="96"/>
      <c r="F152" s="74"/>
    </row>
    <row r="153" spans="1:6" s="5" customFormat="1" ht="63" x14ac:dyDescent="0.25">
      <c r="A153" s="40"/>
      <c r="B153" s="65" t="s">
        <v>135</v>
      </c>
      <c r="C153" s="93"/>
      <c r="D153" s="92"/>
      <c r="E153" s="96"/>
      <c r="F153" s="74"/>
    </row>
    <row r="154" spans="1:6" s="5" customFormat="1" x14ac:dyDescent="0.25">
      <c r="A154" s="40"/>
      <c r="B154" s="65" t="s">
        <v>133</v>
      </c>
      <c r="C154" s="93"/>
      <c r="D154" s="92"/>
      <c r="E154" s="96"/>
      <c r="F154" s="74"/>
    </row>
    <row r="155" spans="1:6" s="5" customFormat="1" x14ac:dyDescent="0.25">
      <c r="A155" s="40" t="s">
        <v>116</v>
      </c>
      <c r="B155" s="24" t="s">
        <v>137</v>
      </c>
      <c r="C155" s="93" t="s">
        <v>115</v>
      </c>
      <c r="D155" s="92">
        <f>ROUNDUP((1.26*2+1.62)*2+4.6*0.1*3+5.5*0.1,0)</f>
        <v>11</v>
      </c>
      <c r="E155" s="96"/>
      <c r="F155" s="73">
        <f>D155*E155</f>
        <v>0</v>
      </c>
    </row>
    <row r="156" spans="1:6" s="5" customFormat="1" x14ac:dyDescent="0.25">
      <c r="A156" s="40" t="str">
        <f>CHAR(CODE(A155)+1)&amp;")"</f>
        <v>b)</v>
      </c>
      <c r="B156" s="24" t="s">
        <v>136</v>
      </c>
      <c r="C156" s="93" t="s">
        <v>115</v>
      </c>
      <c r="D156" s="92">
        <f>ROUNDUP(4.6*2+5.5*2,0)</f>
        <v>21</v>
      </c>
      <c r="E156" s="96"/>
      <c r="F156" s="73">
        <f>D156*E156</f>
        <v>0</v>
      </c>
    </row>
    <row r="157" spans="1:6" x14ac:dyDescent="0.25">
      <c r="B157" s="22"/>
      <c r="C157" s="87"/>
    </row>
    <row r="158" spans="1:6" x14ac:dyDescent="0.25">
      <c r="A158" s="39"/>
      <c r="B158" s="21" t="str">
        <f>"UKUPNO - "&amp;TEXT(A146,) &amp;" " &amp;TEXT(B146,)&amp;" (€):"</f>
        <v>UKUPNO - A.5. IZOLATERSKI RADOVI (€):</v>
      </c>
      <c r="C158" s="82"/>
      <c r="D158" s="83"/>
      <c r="E158" s="98"/>
      <c r="F158" s="72">
        <f>SUM(F148:F157)</f>
        <v>0</v>
      </c>
    </row>
    <row r="159" spans="1:6" x14ac:dyDescent="0.25">
      <c r="B159" s="20"/>
      <c r="D159" s="81"/>
      <c r="E159" s="95"/>
      <c r="F159" s="72"/>
    </row>
    <row r="160" spans="1:6" x14ac:dyDescent="0.25">
      <c r="B160" s="20"/>
      <c r="E160" s="95"/>
    </row>
    <row r="161" spans="1:6" x14ac:dyDescent="0.25">
      <c r="A161" s="39" t="str">
        <f>TEXT($A$7,)&amp;"6."</f>
        <v>A.6.</v>
      </c>
      <c r="B161" s="21" t="s">
        <v>238</v>
      </c>
      <c r="C161" s="82"/>
      <c r="D161" s="83"/>
      <c r="E161" s="97"/>
      <c r="F161" s="70"/>
    </row>
    <row r="162" spans="1:6" x14ac:dyDescent="0.25">
      <c r="B162" s="20"/>
      <c r="F162" s="72"/>
    </row>
    <row r="163" spans="1:6" ht="110.25" x14ac:dyDescent="0.25">
      <c r="B163" s="129" t="s">
        <v>224</v>
      </c>
      <c r="F163" s="72"/>
    </row>
    <row r="164" spans="1:6" x14ac:dyDescent="0.25">
      <c r="B164" s="130"/>
      <c r="F164" s="72"/>
    </row>
    <row r="165" spans="1:6" s="5" customFormat="1" x14ac:dyDescent="0.25">
      <c r="A165" s="40">
        <f>COUNT(A$161:A164)+1</f>
        <v>1</v>
      </c>
      <c r="B165" s="18" t="s">
        <v>320</v>
      </c>
      <c r="C165" s="93"/>
      <c r="D165" s="92"/>
      <c r="E165" s="96"/>
      <c r="F165" s="74"/>
    </row>
    <row r="166" spans="1:6" s="5" customFormat="1" ht="47.25" x14ac:dyDescent="0.25">
      <c r="A166" s="40"/>
      <c r="B166" s="65" t="s">
        <v>322</v>
      </c>
      <c r="C166" s="93"/>
      <c r="D166" s="92"/>
      <c r="E166" s="96"/>
      <c r="F166" s="74"/>
    </row>
    <row r="167" spans="1:6" s="5" customFormat="1" x14ac:dyDescent="0.25">
      <c r="A167" s="40"/>
      <c r="B167" s="65" t="s">
        <v>323</v>
      </c>
      <c r="C167" s="93"/>
      <c r="D167" s="92"/>
      <c r="E167" s="96"/>
      <c r="F167" s="74"/>
    </row>
    <row r="168" spans="1:6" s="5" customFormat="1" x14ac:dyDescent="0.25">
      <c r="A168" s="40"/>
      <c r="B168" s="24" t="s">
        <v>321</v>
      </c>
      <c r="C168" s="93" t="s">
        <v>107</v>
      </c>
      <c r="D168" s="92">
        <v>6</v>
      </c>
      <c r="E168" s="96"/>
      <c r="F168" s="73">
        <f>D168*E168</f>
        <v>0</v>
      </c>
    </row>
    <row r="169" spans="1:6" x14ac:dyDescent="0.25">
      <c r="B169" s="130"/>
      <c r="F169" s="72"/>
    </row>
    <row r="170" spans="1:6" s="5" customFormat="1" x14ac:dyDescent="0.25">
      <c r="A170" s="40">
        <f>COUNT(A$161:A169)+1</f>
        <v>2</v>
      </c>
      <c r="B170" s="18" t="s">
        <v>326</v>
      </c>
      <c r="C170" s="93"/>
      <c r="D170" s="92"/>
      <c r="E170" s="96"/>
      <c r="F170" s="74"/>
    </row>
    <row r="171" spans="1:6" s="5" customFormat="1" ht="47.25" x14ac:dyDescent="0.25">
      <c r="A171" s="40"/>
      <c r="B171" s="65" t="s">
        <v>327</v>
      </c>
      <c r="C171" s="93"/>
      <c r="D171" s="92"/>
      <c r="E171" s="96"/>
      <c r="F171" s="74"/>
    </row>
    <row r="172" spans="1:6" s="5" customFormat="1" x14ac:dyDescent="0.25">
      <c r="A172" s="40"/>
      <c r="B172" s="65" t="s">
        <v>323</v>
      </c>
      <c r="C172" s="93"/>
      <c r="D172" s="92"/>
      <c r="E172" s="96"/>
      <c r="F172" s="74"/>
    </row>
    <row r="173" spans="1:6" s="5" customFormat="1" x14ac:dyDescent="0.25">
      <c r="A173" s="40" t="s">
        <v>116</v>
      </c>
      <c r="B173" s="24" t="s">
        <v>324</v>
      </c>
      <c r="C173" s="93" t="s">
        <v>107</v>
      </c>
      <c r="D173" s="92">
        <v>1</v>
      </c>
      <c r="E173" s="96"/>
      <c r="F173" s="73">
        <f>D173*E173</f>
        <v>0</v>
      </c>
    </row>
    <row r="174" spans="1:6" s="5" customFormat="1" x14ac:dyDescent="0.25">
      <c r="A174" s="40" t="str">
        <f>CHAR(CODE(A173)+1)&amp;")"</f>
        <v>b)</v>
      </c>
      <c r="B174" s="24" t="s">
        <v>325</v>
      </c>
      <c r="C174" s="93" t="s">
        <v>107</v>
      </c>
      <c r="D174" s="92">
        <v>1</v>
      </c>
      <c r="E174" s="96"/>
      <c r="F174" s="73">
        <f>D174*E174</f>
        <v>0</v>
      </c>
    </row>
    <row r="175" spans="1:6" s="5" customFormat="1" x14ac:dyDescent="0.25">
      <c r="A175" s="40"/>
      <c r="B175" s="65"/>
      <c r="C175" s="93"/>
      <c r="D175" s="92"/>
      <c r="E175" s="96"/>
      <c r="F175" s="74"/>
    </row>
    <row r="176" spans="1:6" x14ac:dyDescent="0.25">
      <c r="A176" s="39"/>
      <c r="B176" s="21" t="str">
        <f>"UKUPNO - "&amp;TEXT(A161,) &amp;" " &amp;TEXT(B161,)&amp;" (€):"</f>
        <v>UKUPNO - A.6. STOLARIJA I BRAVARIJA (€):</v>
      </c>
      <c r="C176" s="82"/>
      <c r="D176" s="83"/>
      <c r="E176" s="98"/>
      <c r="F176" s="72">
        <f>SUM(F161:F175)</f>
        <v>0</v>
      </c>
    </row>
    <row r="177" spans="1:6" s="5" customFormat="1" x14ac:dyDescent="0.25">
      <c r="A177" s="40"/>
      <c r="B177" s="18"/>
      <c r="C177" s="84"/>
      <c r="D177" s="85"/>
      <c r="E177" s="125"/>
      <c r="F177" s="71"/>
    </row>
    <row r="178" spans="1:6" x14ac:dyDescent="0.25">
      <c r="B178" s="20"/>
      <c r="D178" s="81"/>
      <c r="E178" s="95"/>
      <c r="F178" s="72"/>
    </row>
    <row r="179" spans="1:6" s="4" customFormat="1" x14ac:dyDescent="0.25">
      <c r="A179" s="39" t="str">
        <f>TEXT($A$7,)&amp;"7."</f>
        <v>A.7.</v>
      </c>
      <c r="B179" s="21" t="s">
        <v>68</v>
      </c>
      <c r="C179" s="82"/>
      <c r="D179" s="83"/>
      <c r="E179" s="97"/>
      <c r="F179" s="70"/>
    </row>
    <row r="180" spans="1:6" s="5" customFormat="1" x14ac:dyDescent="0.25">
      <c r="A180" s="191"/>
      <c r="B180" s="186"/>
      <c r="C180" s="216"/>
      <c r="D180" s="164"/>
      <c r="E180" s="203"/>
      <c r="F180" s="204"/>
    </row>
    <row r="181" spans="1:6" s="5" customFormat="1" x14ac:dyDescent="0.25">
      <c r="A181" s="40">
        <f>COUNT(A$179:A180)+1</f>
        <v>1</v>
      </c>
      <c r="B181" s="18" t="s">
        <v>139</v>
      </c>
      <c r="C181" s="93"/>
      <c r="D181" s="92"/>
      <c r="E181" s="96"/>
      <c r="F181" s="74"/>
    </row>
    <row r="182" spans="1:6" s="5" customFormat="1" ht="78.75" x14ac:dyDescent="0.25">
      <c r="A182" s="40"/>
      <c r="B182" s="65" t="s">
        <v>437</v>
      </c>
      <c r="C182" s="93"/>
      <c r="D182" s="92"/>
      <c r="E182" s="96"/>
      <c r="F182" s="74"/>
    </row>
    <row r="183" spans="1:6" s="5" customFormat="1" x14ac:dyDescent="0.25">
      <c r="A183" s="40"/>
      <c r="B183" s="65" t="s">
        <v>138</v>
      </c>
      <c r="C183" s="93" t="s">
        <v>115</v>
      </c>
      <c r="D183" s="92">
        <f>ROUNDUP(19.9*4.85,0)</f>
        <v>97</v>
      </c>
      <c r="E183" s="96"/>
      <c r="F183" s="73">
        <f>D183*E183</f>
        <v>0</v>
      </c>
    </row>
    <row r="184" spans="1:6" s="5" customFormat="1" x14ac:dyDescent="0.25">
      <c r="A184" s="40"/>
      <c r="B184" s="65"/>
      <c r="C184" s="93"/>
      <c r="D184" s="92"/>
      <c r="E184" s="96"/>
      <c r="F184" s="74"/>
    </row>
    <row r="185" spans="1:6" s="5" customFormat="1" x14ac:dyDescent="0.25">
      <c r="A185" s="40">
        <f>COUNT(A$179:A184)+1</f>
        <v>2</v>
      </c>
      <c r="B185" s="18" t="s">
        <v>343</v>
      </c>
      <c r="C185" s="93"/>
      <c r="D185" s="92"/>
      <c r="E185" s="96"/>
      <c r="F185" s="74"/>
    </row>
    <row r="186" spans="1:6" s="5" customFormat="1" ht="126" x14ac:dyDescent="0.25">
      <c r="A186" s="40"/>
      <c r="B186" s="65" t="s">
        <v>438</v>
      </c>
      <c r="C186" s="93"/>
      <c r="D186" s="92"/>
      <c r="E186" s="96"/>
      <c r="F186" s="74"/>
    </row>
    <row r="187" spans="1:6" s="5" customFormat="1" x14ac:dyDescent="0.25">
      <c r="A187" s="40"/>
      <c r="B187" s="65" t="s">
        <v>138</v>
      </c>
      <c r="C187" s="93" t="s">
        <v>115</v>
      </c>
      <c r="D187" s="92">
        <f>D228+D229</f>
        <v>60</v>
      </c>
      <c r="E187" s="96"/>
      <c r="F187" s="73">
        <f>D187*E187</f>
        <v>0</v>
      </c>
    </row>
    <row r="188" spans="1:6" s="5" customFormat="1" x14ac:dyDescent="0.25">
      <c r="A188" s="40"/>
      <c r="B188" s="65"/>
      <c r="C188" s="93"/>
      <c r="D188" s="92"/>
      <c r="E188" s="96"/>
      <c r="F188" s="74"/>
    </row>
    <row r="189" spans="1:6" s="5" customFormat="1" x14ac:dyDescent="0.25">
      <c r="A189" s="40">
        <f>COUNT(A$179:A188)+1</f>
        <v>3</v>
      </c>
      <c r="B189" s="18" t="s">
        <v>328</v>
      </c>
      <c r="C189" s="93"/>
      <c r="D189" s="92"/>
      <c r="E189" s="96"/>
      <c r="F189" s="74"/>
    </row>
    <row r="190" spans="1:6" s="5" customFormat="1" ht="47.25" x14ac:dyDescent="0.25">
      <c r="A190" s="40"/>
      <c r="B190" s="65" t="s">
        <v>329</v>
      </c>
      <c r="C190" s="93"/>
      <c r="D190" s="92"/>
      <c r="E190" s="96"/>
      <c r="F190" s="74"/>
    </row>
    <row r="191" spans="1:6" s="5" customFormat="1" x14ac:dyDescent="0.25">
      <c r="A191" s="40"/>
      <c r="B191" s="65" t="s">
        <v>138</v>
      </c>
      <c r="C191" s="93" t="s">
        <v>115</v>
      </c>
      <c r="D191" s="92">
        <f>ROUNDUP(13*0.25*0.9+14*0.19*0.9+2.35*0.2,0)</f>
        <v>6</v>
      </c>
      <c r="E191" s="96"/>
      <c r="F191" s="73">
        <f t="shared" ref="F191" si="4">D191*E191</f>
        <v>0</v>
      </c>
    </row>
    <row r="192" spans="1:6" s="5" customFormat="1" x14ac:dyDescent="0.25">
      <c r="A192" s="40"/>
      <c r="B192" s="186"/>
      <c r="C192" s="93"/>
      <c r="D192" s="92"/>
      <c r="E192" s="96"/>
      <c r="F192" s="73"/>
    </row>
    <row r="193" spans="1:6" s="5" customFormat="1" x14ac:dyDescent="0.25">
      <c r="A193" s="40">
        <f>COUNT(A$179:A192)+1</f>
        <v>4</v>
      </c>
      <c r="B193" s="18" t="s">
        <v>330</v>
      </c>
      <c r="C193" s="93"/>
      <c r="D193" s="92"/>
      <c r="E193" s="96"/>
      <c r="F193" s="74"/>
    </row>
    <row r="194" spans="1:6" s="5" customFormat="1" ht="31.5" x14ac:dyDescent="0.25">
      <c r="A194" s="40"/>
      <c r="B194" s="65" t="s">
        <v>331</v>
      </c>
      <c r="C194" s="93"/>
      <c r="D194" s="92"/>
      <c r="E194" s="96"/>
      <c r="F194" s="74"/>
    </row>
    <row r="195" spans="1:6" s="5" customFormat="1" x14ac:dyDescent="0.25">
      <c r="A195" s="40"/>
      <c r="B195" s="24" t="s">
        <v>332</v>
      </c>
      <c r="C195" s="93"/>
      <c r="D195" s="92"/>
      <c r="E195" s="96"/>
      <c r="F195" s="74"/>
    </row>
    <row r="196" spans="1:6" s="5" customFormat="1" ht="31.5" x14ac:dyDescent="0.25">
      <c r="A196" s="40"/>
      <c r="B196" s="24" t="s">
        <v>384</v>
      </c>
      <c r="C196" s="93"/>
      <c r="D196" s="92"/>
      <c r="E196" s="96"/>
      <c r="F196" s="74"/>
    </row>
    <row r="197" spans="1:6" s="5" customFormat="1" x14ac:dyDescent="0.25">
      <c r="A197" s="40"/>
      <c r="B197" s="65" t="s">
        <v>333</v>
      </c>
      <c r="C197" s="93"/>
      <c r="D197" s="92"/>
      <c r="E197" s="96"/>
      <c r="F197" s="74"/>
    </row>
    <row r="198" spans="1:6" s="5" customFormat="1" ht="31.5" x14ac:dyDescent="0.25">
      <c r="A198" s="40" t="s">
        <v>116</v>
      </c>
      <c r="B198" s="24" t="s">
        <v>334</v>
      </c>
      <c r="C198" s="93" t="s">
        <v>106</v>
      </c>
      <c r="D198" s="92">
        <f>ROUNDUP(1.75+2.25+5.05,0)</f>
        <v>10</v>
      </c>
      <c r="E198" s="96"/>
      <c r="F198" s="74">
        <f t="shared" ref="F198:F199" si="5">D198*E198</f>
        <v>0</v>
      </c>
    </row>
    <row r="199" spans="1:6" s="5" customFormat="1" ht="31.5" x14ac:dyDescent="0.25">
      <c r="A199" s="40" t="s">
        <v>117</v>
      </c>
      <c r="B199" s="24" t="s">
        <v>335</v>
      </c>
      <c r="C199" s="93" t="s">
        <v>106</v>
      </c>
      <c r="D199" s="92">
        <f>D198</f>
        <v>10</v>
      </c>
      <c r="E199" s="96"/>
      <c r="F199" s="74">
        <f t="shared" si="5"/>
        <v>0</v>
      </c>
    </row>
    <row r="200" spans="1:6" s="5" customFormat="1" x14ac:dyDescent="0.25">
      <c r="A200" s="40"/>
      <c r="B200" s="18"/>
      <c r="C200" s="232"/>
      <c r="D200" s="92"/>
      <c r="E200" s="125"/>
      <c r="F200" s="233"/>
    </row>
    <row r="201" spans="1:6" s="5" customFormat="1" x14ac:dyDescent="0.25">
      <c r="A201" s="40">
        <f>COUNT(A$179:A200)+1</f>
        <v>5</v>
      </c>
      <c r="B201" s="18" t="s">
        <v>373</v>
      </c>
      <c r="C201" s="232"/>
      <c r="D201" s="92"/>
      <c r="E201" s="125"/>
      <c r="F201" s="233"/>
    </row>
    <row r="202" spans="1:6" s="5" customFormat="1" ht="47.25" x14ac:dyDescent="0.25">
      <c r="A202" s="40"/>
      <c r="B202" s="24" t="s">
        <v>507</v>
      </c>
      <c r="C202" s="86" t="s">
        <v>106</v>
      </c>
      <c r="D202" s="87">
        <v>20</v>
      </c>
      <c r="E202" s="94"/>
      <c r="F202" s="74">
        <f>D202*E202</f>
        <v>0</v>
      </c>
    </row>
    <row r="203" spans="1:6" s="4" customFormat="1" x14ac:dyDescent="0.25">
      <c r="A203" s="38"/>
      <c r="B203" s="19"/>
      <c r="C203" s="86"/>
      <c r="D203" s="87"/>
      <c r="E203" s="94"/>
      <c r="F203" s="73"/>
    </row>
    <row r="204" spans="1:6" x14ac:dyDescent="0.25">
      <c r="A204" s="39"/>
      <c r="B204" s="26" t="str">
        <f>"UKUPNO - "&amp;TEXT(A179,) &amp;" " &amp;TEXT(B179,)&amp;" (€):"</f>
        <v>UKUPNO - A.7. SOBOSLIKARSKI I LIČILAČKI RADOVI (€):</v>
      </c>
      <c r="C204" s="82"/>
      <c r="D204" s="83"/>
      <c r="E204" s="98"/>
      <c r="F204" s="72">
        <f>SUM(F179:F203)</f>
        <v>0</v>
      </c>
    </row>
    <row r="205" spans="1:6" s="5" customFormat="1" x14ac:dyDescent="0.25">
      <c r="A205" s="40"/>
      <c r="B205" s="37"/>
      <c r="C205" s="84"/>
      <c r="D205" s="85"/>
      <c r="E205" s="125"/>
      <c r="F205" s="71"/>
    </row>
    <row r="206" spans="1:6" s="5" customFormat="1" x14ac:dyDescent="0.25">
      <c r="A206" s="40"/>
      <c r="B206" s="18"/>
      <c r="C206" s="84"/>
      <c r="D206" s="85"/>
      <c r="E206" s="125"/>
      <c r="F206" s="71"/>
    </row>
    <row r="207" spans="1:6" x14ac:dyDescent="0.25">
      <c r="A207" s="39" t="str">
        <f>TEXT($A$7,)&amp;"8."</f>
        <v>A.8.</v>
      </c>
      <c r="B207" s="21" t="s">
        <v>16</v>
      </c>
      <c r="C207" s="82"/>
      <c r="D207" s="83"/>
      <c r="E207" s="97"/>
      <c r="F207" s="70"/>
    </row>
    <row r="208" spans="1:6" x14ac:dyDescent="0.25">
      <c r="B208" s="20"/>
      <c r="C208" s="80"/>
      <c r="D208" s="81"/>
      <c r="E208" s="95"/>
      <c r="F208" s="72"/>
    </row>
    <row r="209" spans="1:6" s="5" customFormat="1" x14ac:dyDescent="0.25">
      <c r="A209" s="40">
        <f>COUNT(A$207:A208)+1</f>
        <v>1</v>
      </c>
      <c r="B209" s="18" t="s">
        <v>158</v>
      </c>
      <c r="C209" s="93"/>
      <c r="D209" s="92"/>
      <c r="E209" s="96"/>
      <c r="F209" s="74"/>
    </row>
    <row r="210" spans="1:6" s="5" customFormat="1" ht="31.5" x14ac:dyDescent="0.25">
      <c r="A210" s="40"/>
      <c r="B210" s="65" t="s">
        <v>159</v>
      </c>
      <c r="C210" s="93"/>
      <c r="D210" s="92"/>
      <c r="E210" s="96"/>
      <c r="F210" s="74"/>
    </row>
    <row r="211" spans="1:6" s="5" customFormat="1" x14ac:dyDescent="0.25">
      <c r="A211" s="40"/>
      <c r="B211" s="65" t="s">
        <v>160</v>
      </c>
      <c r="C211" s="93"/>
      <c r="D211" s="92"/>
      <c r="E211" s="96"/>
      <c r="F211" s="74"/>
    </row>
    <row r="212" spans="1:6" s="5" customFormat="1" x14ac:dyDescent="0.25">
      <c r="A212" s="40"/>
      <c r="B212" s="187" t="s">
        <v>161</v>
      </c>
      <c r="C212" s="93"/>
      <c r="D212" s="92"/>
      <c r="E212" s="96"/>
      <c r="F212" s="74"/>
    </row>
    <row r="213" spans="1:6" s="5" customFormat="1" ht="78.75" x14ac:dyDescent="0.25">
      <c r="A213" s="40"/>
      <c r="B213" s="187" t="s">
        <v>162</v>
      </c>
      <c r="C213" s="93"/>
      <c r="D213" s="92"/>
      <c r="E213" s="96"/>
      <c r="F213" s="74"/>
    </row>
    <row r="214" spans="1:6" s="5" customFormat="1" ht="31.5" x14ac:dyDescent="0.25">
      <c r="A214" s="40"/>
      <c r="B214" s="65" t="s">
        <v>163</v>
      </c>
      <c r="C214" s="93"/>
      <c r="D214" s="92"/>
      <c r="E214" s="96"/>
      <c r="F214" s="74"/>
    </row>
    <row r="215" spans="1:6" s="5" customFormat="1" ht="47.25" x14ac:dyDescent="0.25">
      <c r="A215" s="40"/>
      <c r="B215" s="24" t="s">
        <v>394</v>
      </c>
      <c r="C215" s="93" t="s">
        <v>115</v>
      </c>
      <c r="D215" s="92">
        <f>ROUNDUP(3.35*2.5+2*2.5+1.4*2*2.5+3.45*2.1+1.9*2.1+1.4*2.1*2,0)</f>
        <v>38</v>
      </c>
      <c r="E215" s="96"/>
      <c r="F215" s="74">
        <f>D215*E215</f>
        <v>0</v>
      </c>
    </row>
    <row r="216" spans="1:6" s="5" customFormat="1" x14ac:dyDescent="0.25">
      <c r="A216" s="40"/>
      <c r="B216" s="186"/>
      <c r="C216" s="93"/>
      <c r="D216" s="92"/>
      <c r="E216" s="96"/>
      <c r="F216" s="74"/>
    </row>
    <row r="217" spans="1:6" s="5" customFormat="1" x14ac:dyDescent="0.25">
      <c r="A217" s="40">
        <f>COUNT(A$207:A216)+1</f>
        <v>2</v>
      </c>
      <c r="B217" s="18" t="s">
        <v>166</v>
      </c>
      <c r="C217" s="93"/>
      <c r="D217" s="92"/>
      <c r="E217" s="96"/>
      <c r="F217" s="74"/>
    </row>
    <row r="218" spans="1:6" s="5" customFormat="1" ht="31.5" x14ac:dyDescent="0.25">
      <c r="A218" s="40"/>
      <c r="B218" s="65" t="s">
        <v>336</v>
      </c>
      <c r="C218" s="93"/>
      <c r="D218" s="92"/>
      <c r="E218" s="96"/>
      <c r="F218" s="74"/>
    </row>
    <row r="219" spans="1:6" s="5" customFormat="1" x14ac:dyDescent="0.25">
      <c r="A219" s="40"/>
      <c r="B219" s="65" t="s">
        <v>337</v>
      </c>
      <c r="C219" s="93"/>
      <c r="D219" s="92"/>
      <c r="E219" s="96"/>
      <c r="F219" s="74"/>
    </row>
    <row r="220" spans="1:6" s="5" customFormat="1" ht="78.75" x14ac:dyDescent="0.25">
      <c r="A220" s="40"/>
      <c r="B220" s="65" t="s">
        <v>338</v>
      </c>
      <c r="C220" s="93"/>
      <c r="D220" s="92"/>
      <c r="E220" s="96"/>
      <c r="F220" s="74"/>
    </row>
    <row r="221" spans="1:6" s="5" customFormat="1" x14ac:dyDescent="0.25">
      <c r="A221" s="40"/>
      <c r="B221" s="24" t="s">
        <v>339</v>
      </c>
      <c r="C221" s="93"/>
      <c r="D221" s="92"/>
      <c r="E221" s="96"/>
      <c r="F221" s="74"/>
    </row>
    <row r="222" spans="1:6" s="5" customFormat="1" ht="31.5" x14ac:dyDescent="0.25">
      <c r="A222" s="40"/>
      <c r="B222" s="65" t="s">
        <v>340</v>
      </c>
      <c r="C222" s="93"/>
      <c r="D222" s="92"/>
      <c r="E222" s="96"/>
      <c r="F222" s="74"/>
    </row>
    <row r="223" spans="1:6" s="5" customFormat="1" x14ac:dyDescent="0.25">
      <c r="A223" s="40"/>
      <c r="B223" s="65" t="s">
        <v>341</v>
      </c>
      <c r="C223" s="93"/>
      <c r="D223" s="92"/>
      <c r="E223" s="96"/>
      <c r="F223" s="74"/>
    </row>
    <row r="224" spans="1:6" s="5" customFormat="1" x14ac:dyDescent="0.25">
      <c r="A224" s="40"/>
      <c r="B224" s="65" t="s">
        <v>164</v>
      </c>
      <c r="C224" s="93"/>
      <c r="D224" s="92"/>
      <c r="E224" s="96"/>
      <c r="F224" s="74"/>
    </row>
    <row r="225" spans="1:6" s="5" customFormat="1" ht="31.5" x14ac:dyDescent="0.25">
      <c r="A225" s="40"/>
      <c r="B225" s="65" t="s">
        <v>342</v>
      </c>
      <c r="C225" s="93"/>
      <c r="D225" s="92"/>
      <c r="E225" s="96"/>
      <c r="F225" s="74"/>
    </row>
    <row r="226" spans="1:6" s="5" customFormat="1" x14ac:dyDescent="0.25">
      <c r="A226" s="40"/>
      <c r="B226" s="65" t="s">
        <v>165</v>
      </c>
      <c r="C226" s="93"/>
      <c r="D226" s="92"/>
      <c r="E226" s="96"/>
      <c r="F226" s="74"/>
    </row>
    <row r="227" spans="1:6" s="5" customFormat="1" ht="18" x14ac:dyDescent="0.25">
      <c r="A227" s="40"/>
      <c r="B227" s="65" t="s">
        <v>245</v>
      </c>
      <c r="C227" s="93"/>
      <c r="D227" s="92"/>
      <c r="E227" s="96"/>
      <c r="F227" s="74"/>
    </row>
    <row r="228" spans="1:6" s="5" customFormat="1" x14ac:dyDescent="0.25">
      <c r="A228" s="40" t="s">
        <v>116</v>
      </c>
      <c r="B228" s="24" t="s">
        <v>395</v>
      </c>
      <c r="C228" s="93" t="s">
        <v>115</v>
      </c>
      <c r="D228" s="92">
        <f>D71-D229</f>
        <v>57</v>
      </c>
      <c r="E228" s="96"/>
      <c r="F228" s="74">
        <f t="shared" ref="F228:F229" si="6">D228*E228</f>
        <v>0</v>
      </c>
    </row>
    <row r="229" spans="1:6" s="5" customFormat="1" x14ac:dyDescent="0.25">
      <c r="A229" s="40" t="s">
        <v>117</v>
      </c>
      <c r="B229" s="24" t="s">
        <v>396</v>
      </c>
      <c r="C229" s="93" t="s">
        <v>115</v>
      </c>
      <c r="D229" s="92">
        <f>ROUNDUP(1.26+1.62,)</f>
        <v>3</v>
      </c>
      <c r="E229" s="96"/>
      <c r="F229" s="74">
        <f t="shared" si="6"/>
        <v>0</v>
      </c>
    </row>
    <row r="230" spans="1:6" s="115" customFormat="1" x14ac:dyDescent="0.25">
      <c r="A230" s="119"/>
      <c r="B230" s="65"/>
      <c r="C230" s="109"/>
      <c r="D230" s="110"/>
      <c r="E230" s="107"/>
      <c r="F230" s="110"/>
    </row>
    <row r="231" spans="1:6" x14ac:dyDescent="0.25">
      <c r="A231" s="39"/>
      <c r="B231" s="21" t="str">
        <f>"UKUPNO - "&amp;TEXT(A207,) &amp;" " &amp;TEXT(B207,)&amp;" (€):"</f>
        <v>UKUPNO - A.8. GIPS-KARTONSKI RADOVI (€):</v>
      </c>
      <c r="C231" s="82"/>
      <c r="D231" s="83"/>
      <c r="E231" s="98"/>
      <c r="F231" s="72">
        <f>SUM(F207:F230)</f>
        <v>0</v>
      </c>
    </row>
    <row r="232" spans="1:6" s="5" customFormat="1" x14ac:dyDescent="0.25">
      <c r="A232" s="40"/>
      <c r="B232" s="18"/>
      <c r="C232" s="84"/>
      <c r="D232" s="85"/>
      <c r="E232" s="125"/>
      <c r="F232" s="71"/>
    </row>
    <row r="233" spans="1:6" x14ac:dyDescent="0.25">
      <c r="B233" s="20"/>
      <c r="D233" s="81"/>
      <c r="E233" s="95"/>
      <c r="F233" s="72"/>
    </row>
    <row r="234" spans="1:6" x14ac:dyDescent="0.25">
      <c r="A234" s="39" t="str">
        <f>TEXT($A$7,)&amp;"9."</f>
        <v>A.9.</v>
      </c>
      <c r="B234" s="21" t="s">
        <v>70</v>
      </c>
      <c r="C234" s="82"/>
      <c r="D234" s="83"/>
      <c r="E234" s="97"/>
      <c r="F234" s="70"/>
    </row>
    <row r="235" spans="1:6" x14ac:dyDescent="0.25">
      <c r="B235" s="20"/>
      <c r="F235" s="72"/>
    </row>
    <row r="236" spans="1:6" s="5" customFormat="1" x14ac:dyDescent="0.25">
      <c r="A236" s="40">
        <f>COUNT(A$234:A235)+1</f>
        <v>1</v>
      </c>
      <c r="B236" s="18" t="s">
        <v>155</v>
      </c>
      <c r="C236" s="93"/>
      <c r="D236" s="92"/>
      <c r="E236" s="96"/>
      <c r="F236" s="74"/>
    </row>
    <row r="237" spans="1:6" s="5" customFormat="1" ht="94.5" x14ac:dyDescent="0.25">
      <c r="A237" s="40"/>
      <c r="B237" s="65" t="s">
        <v>346</v>
      </c>
      <c r="C237" s="93"/>
      <c r="D237" s="92"/>
      <c r="E237" s="96"/>
      <c r="F237" s="74"/>
    </row>
    <row r="238" spans="1:6" s="5" customFormat="1" x14ac:dyDescent="0.25">
      <c r="A238" s="40"/>
      <c r="B238" s="24" t="s">
        <v>156</v>
      </c>
      <c r="C238" s="93" t="s">
        <v>115</v>
      </c>
      <c r="D238" s="92">
        <f>ROUNDUP((4.6*2+5.5+9.9)*2.5+(4.6*2+5.5+8.9)*2.1,0)</f>
        <v>112</v>
      </c>
      <c r="E238" s="96"/>
      <c r="F238" s="74">
        <f>D238*E238</f>
        <v>0</v>
      </c>
    </row>
    <row r="239" spans="1:6" s="5" customFormat="1" x14ac:dyDescent="0.25">
      <c r="A239" s="40"/>
      <c r="B239" s="65"/>
      <c r="C239" s="93"/>
      <c r="D239" s="92"/>
      <c r="E239" s="96"/>
      <c r="F239" s="74"/>
    </row>
    <row r="240" spans="1:6" s="5" customFormat="1" x14ac:dyDescent="0.25">
      <c r="A240" s="40">
        <f>COUNT(A$234:A239)+1</f>
        <v>2</v>
      </c>
      <c r="B240" s="18" t="s">
        <v>157</v>
      </c>
      <c r="C240" s="93"/>
      <c r="D240" s="92"/>
      <c r="E240" s="96"/>
      <c r="F240" s="74"/>
    </row>
    <row r="241" spans="1:6" s="5" customFormat="1" ht="126" x14ac:dyDescent="0.25">
      <c r="A241" s="40"/>
      <c r="B241" s="65" t="s">
        <v>345</v>
      </c>
      <c r="C241" s="93"/>
      <c r="D241" s="92"/>
      <c r="E241" s="96"/>
      <c r="F241" s="74"/>
    </row>
    <row r="242" spans="1:6" s="5" customFormat="1" x14ac:dyDescent="0.25">
      <c r="A242" s="40"/>
      <c r="B242" s="24" t="s">
        <v>122</v>
      </c>
      <c r="C242" s="93" t="s">
        <v>115</v>
      </c>
      <c r="D242" s="92">
        <f>ROUNDUP(1.26*4+1.62*2+5.09+4.56+1.8,0)</f>
        <v>20</v>
      </c>
      <c r="E242" s="96"/>
      <c r="F242" s="74">
        <f>D242*E242</f>
        <v>0</v>
      </c>
    </row>
    <row r="243" spans="1:6" s="5" customFormat="1" x14ac:dyDescent="0.25">
      <c r="A243" s="40"/>
      <c r="B243" s="65"/>
      <c r="C243" s="93"/>
      <c r="D243" s="92"/>
      <c r="E243" s="96"/>
      <c r="F243" s="74"/>
    </row>
    <row r="244" spans="1:6" x14ac:dyDescent="0.25">
      <c r="A244" s="39"/>
      <c r="B244" s="21" t="str">
        <f>"UKUPNO - "&amp;TEXT(A234,) &amp;" " &amp;TEXT(B234,)&amp;" (€):"</f>
        <v>UKUPNO - A.9. KERAMIČARSKI RADOVI (€):</v>
      </c>
      <c r="C244" s="82"/>
      <c r="D244" s="83"/>
      <c r="E244" s="98"/>
      <c r="F244" s="72">
        <f>SUM(F234:F243)</f>
        <v>0</v>
      </c>
    </row>
    <row r="245" spans="1:6" s="5" customFormat="1" x14ac:dyDescent="0.25">
      <c r="A245" s="40"/>
      <c r="B245" s="18"/>
      <c r="C245" s="84"/>
      <c r="D245" s="85"/>
      <c r="E245" s="125"/>
      <c r="F245" s="71"/>
    </row>
    <row r="247" spans="1:6" x14ac:dyDescent="0.25">
      <c r="A247" s="39" t="str">
        <f>TEXT($A$7,)&amp;"10."</f>
        <v>A.10.</v>
      </c>
      <c r="B247" s="21" t="s">
        <v>196</v>
      </c>
      <c r="C247" s="82"/>
      <c r="D247" s="83"/>
      <c r="E247" s="97"/>
      <c r="F247" s="70"/>
    </row>
    <row r="248" spans="1:6" x14ac:dyDescent="0.25">
      <c r="B248" s="20"/>
      <c r="F248" s="72"/>
    </row>
    <row r="249" spans="1:6" x14ac:dyDescent="0.25">
      <c r="A249" s="40">
        <f>COUNT(A$247:A248)+1</f>
        <v>1</v>
      </c>
      <c r="B249" s="20" t="s">
        <v>240</v>
      </c>
      <c r="F249" s="72"/>
    </row>
    <row r="250" spans="1:6" ht="126" x14ac:dyDescent="0.25">
      <c r="A250" s="40"/>
      <c r="B250" s="19" t="s">
        <v>241</v>
      </c>
      <c r="C250" s="86" t="s">
        <v>115</v>
      </c>
      <c r="D250" s="87">
        <f>D257</f>
        <v>36</v>
      </c>
      <c r="F250" s="74">
        <f>D250*E250</f>
        <v>0</v>
      </c>
    </row>
    <row r="251" spans="1:6" x14ac:dyDescent="0.25">
      <c r="A251" s="40"/>
      <c r="F251" s="72"/>
    </row>
    <row r="252" spans="1:6" x14ac:dyDescent="0.25">
      <c r="A252" s="40">
        <f>COUNT(A$247:A251)+1</f>
        <v>2</v>
      </c>
      <c r="B252" s="20" t="s">
        <v>243</v>
      </c>
      <c r="F252" s="72"/>
    </row>
    <row r="253" spans="1:6" ht="47.25" x14ac:dyDescent="0.25">
      <c r="A253" s="40"/>
      <c r="B253" s="65" t="s">
        <v>347</v>
      </c>
      <c r="F253" s="72"/>
    </row>
    <row r="254" spans="1:6" x14ac:dyDescent="0.25">
      <c r="A254" s="40"/>
      <c r="B254" s="230" t="s">
        <v>348</v>
      </c>
      <c r="F254" s="72"/>
    </row>
    <row r="255" spans="1:6" ht="34.5" x14ac:dyDescent="0.25">
      <c r="A255" s="40"/>
      <c r="B255" s="187" t="s">
        <v>349</v>
      </c>
      <c r="F255" s="74"/>
    </row>
    <row r="256" spans="1:6" ht="31.5" x14ac:dyDescent="0.25">
      <c r="A256" s="40"/>
      <c r="B256" s="187" t="s">
        <v>350</v>
      </c>
      <c r="C256" s="1"/>
      <c r="D256" s="1"/>
      <c r="E256" s="1"/>
      <c r="F256" s="1"/>
    </row>
    <row r="257" spans="1:6" ht="112.5" x14ac:dyDescent="0.25">
      <c r="A257" s="40"/>
      <c r="B257" s="65" t="s">
        <v>351</v>
      </c>
      <c r="C257" s="86" t="s">
        <v>115</v>
      </c>
      <c r="D257" s="87">
        <f>ROUNDUP(21.06+14.41,0)</f>
        <v>36</v>
      </c>
      <c r="F257" s="74">
        <f>D257*E257</f>
        <v>0</v>
      </c>
    </row>
    <row r="258" spans="1:6" x14ac:dyDescent="0.25">
      <c r="A258" s="40"/>
      <c r="B258" s="65"/>
      <c r="F258" s="72"/>
    </row>
    <row r="259" spans="1:6" x14ac:dyDescent="0.25">
      <c r="A259" s="40">
        <f>COUNT(A$247:A257)+1</f>
        <v>3</v>
      </c>
      <c r="B259" s="20" t="s">
        <v>242</v>
      </c>
      <c r="F259" s="72"/>
    </row>
    <row r="260" spans="1:6" ht="128.25" x14ac:dyDescent="0.25">
      <c r="A260" s="40"/>
      <c r="B260" s="19" t="s">
        <v>244</v>
      </c>
      <c r="C260" s="86" t="s">
        <v>106</v>
      </c>
      <c r="D260" s="87">
        <f>ROUNDUP(10.55+19.9,0)</f>
        <v>31</v>
      </c>
      <c r="F260" s="74">
        <f>D260*E260</f>
        <v>0</v>
      </c>
    </row>
    <row r="261" spans="1:6" x14ac:dyDescent="0.25">
      <c r="B261" s="20"/>
      <c r="D261" s="81"/>
      <c r="E261" s="95"/>
      <c r="F261" s="72"/>
    </row>
    <row r="262" spans="1:6" x14ac:dyDescent="0.25">
      <c r="A262" s="39"/>
      <c r="B262" s="21" t="str">
        <f>"UKUPNO - "&amp;TEXT(A247,) &amp;" " &amp;TEXT(B247,)&amp;" (€):"</f>
        <v>UKUPNO - A.10. PODOPOLAGAČKI RADOVI (€):</v>
      </c>
      <c r="C262" s="82"/>
      <c r="D262" s="83"/>
      <c r="E262" s="98"/>
      <c r="F262" s="72">
        <f>SUM(F247:F261)</f>
        <v>0</v>
      </c>
    </row>
    <row r="263" spans="1:6" s="5" customFormat="1" x14ac:dyDescent="0.25">
      <c r="A263" s="40"/>
      <c r="B263" s="18"/>
      <c r="C263" s="84"/>
      <c r="D263" s="85"/>
      <c r="E263" s="125"/>
      <c r="F263" s="71"/>
    </row>
    <row r="265" spans="1:6" x14ac:dyDescent="0.25">
      <c r="A265" s="39" t="str">
        <f>TEXT($A$7,)&amp;"11."</f>
        <v>A.11.</v>
      </c>
      <c r="B265" s="21" t="s">
        <v>21</v>
      </c>
      <c r="C265" s="82"/>
      <c r="D265" s="83"/>
      <c r="E265" s="97"/>
      <c r="F265" s="70"/>
    </row>
    <row r="266" spans="1:6" s="5" customFormat="1" x14ac:dyDescent="0.25">
      <c r="A266" s="40"/>
      <c r="B266" s="24"/>
      <c r="C266" s="93"/>
      <c r="D266" s="92"/>
      <c r="E266" s="96"/>
      <c r="F266" s="74"/>
    </row>
    <row r="267" spans="1:6" s="5" customFormat="1" x14ac:dyDescent="0.25">
      <c r="A267" s="40">
        <f>COUNT(A$265:A266)+1</f>
        <v>1</v>
      </c>
      <c r="B267" s="18" t="s">
        <v>153</v>
      </c>
      <c r="C267" s="93"/>
      <c r="D267" s="92"/>
      <c r="E267" s="96"/>
      <c r="F267" s="74"/>
    </row>
    <row r="268" spans="1:6" s="5" customFormat="1" ht="31.5" x14ac:dyDescent="0.25">
      <c r="A268" s="40"/>
      <c r="B268" s="65" t="s">
        <v>372</v>
      </c>
      <c r="C268" s="93"/>
      <c r="D268" s="92"/>
      <c r="E268" s="96"/>
      <c r="F268" s="74"/>
    </row>
    <row r="269" spans="1:6" s="5" customFormat="1" x14ac:dyDescent="0.25">
      <c r="A269" s="40" t="str">
        <f t="shared" ref="A269:D270" si="7">A38</f>
        <v>a)</v>
      </c>
      <c r="B269" s="24" t="str">
        <f t="shared" si="7"/>
        <v>- ogledalo (160x200 cm)</v>
      </c>
      <c r="C269" s="93" t="str">
        <f t="shared" si="7"/>
        <v>kom.</v>
      </c>
      <c r="D269" s="92">
        <f t="shared" si="7"/>
        <v>1</v>
      </c>
      <c r="E269" s="96"/>
      <c r="F269" s="74">
        <f t="shared" ref="F269:F270" si="8">D269*E269</f>
        <v>0</v>
      </c>
    </row>
    <row r="270" spans="1:6" s="5" customFormat="1" x14ac:dyDescent="0.25">
      <c r="A270" s="40" t="str">
        <f t="shared" si="7"/>
        <v>b)</v>
      </c>
      <c r="B270" s="24" t="str">
        <f t="shared" si="7"/>
        <v>- televizor</v>
      </c>
      <c r="C270" s="93" t="str">
        <f t="shared" si="7"/>
        <v>kom.</v>
      </c>
      <c r="D270" s="92">
        <f t="shared" si="7"/>
        <v>1</v>
      </c>
      <c r="E270" s="96"/>
      <c r="F270" s="74">
        <f t="shared" si="8"/>
        <v>0</v>
      </c>
    </row>
    <row r="271" spans="1:6" s="5" customFormat="1" x14ac:dyDescent="0.25">
      <c r="A271" s="40"/>
      <c r="B271" s="18"/>
      <c r="C271" s="232"/>
      <c r="D271" s="92"/>
      <c r="E271" s="125"/>
      <c r="F271" s="233"/>
    </row>
    <row r="272" spans="1:6" s="5" customFormat="1" x14ac:dyDescent="0.25">
      <c r="A272" s="40">
        <f>COUNT(A$265:A271)+1</f>
        <v>2</v>
      </c>
      <c r="B272" s="18" t="s">
        <v>370</v>
      </c>
      <c r="C272" s="232"/>
      <c r="D272" s="92"/>
      <c r="E272" s="125"/>
      <c r="F272" s="233"/>
    </row>
    <row r="273" spans="1:6" s="5" customFormat="1" ht="78.75" x14ac:dyDescent="0.25">
      <c r="A273" s="40"/>
      <c r="B273" s="24" t="s">
        <v>371</v>
      </c>
      <c r="C273" s="232"/>
      <c r="D273" s="92"/>
      <c r="E273" s="96"/>
      <c r="F273" s="234"/>
    </row>
    <row r="274" spans="1:6" s="5" customFormat="1" x14ac:dyDescent="0.25">
      <c r="A274" s="40" t="str">
        <f t="shared" ref="A274:D275" si="9">A52</f>
        <v>a)</v>
      </c>
      <c r="B274" s="24" t="str">
        <f t="shared" si="9"/>
        <v>- 275/80 cm</v>
      </c>
      <c r="C274" s="232" t="str">
        <f t="shared" si="9"/>
        <v>kom.</v>
      </c>
      <c r="D274" s="92">
        <f t="shared" si="9"/>
        <v>1</v>
      </c>
      <c r="E274" s="96"/>
      <c r="F274" s="74">
        <f>D274*E274</f>
        <v>0</v>
      </c>
    </row>
    <row r="275" spans="1:6" s="5" customFormat="1" x14ac:dyDescent="0.25">
      <c r="A275" s="40" t="str">
        <f t="shared" si="9"/>
        <v>b)</v>
      </c>
      <c r="B275" s="24" t="str">
        <f t="shared" si="9"/>
        <v>- 50/80 cm</v>
      </c>
      <c r="C275" s="232" t="str">
        <f t="shared" si="9"/>
        <v>kom.</v>
      </c>
      <c r="D275" s="92">
        <f t="shared" si="9"/>
        <v>1</v>
      </c>
      <c r="E275" s="96"/>
      <c r="F275" s="74">
        <f>D275*E275</f>
        <v>0</v>
      </c>
    </row>
    <row r="276" spans="1:6" s="5" customFormat="1" x14ac:dyDescent="0.25">
      <c r="A276" s="40"/>
      <c r="B276" s="18"/>
      <c r="C276" s="232"/>
      <c r="D276" s="92"/>
      <c r="E276" s="125"/>
      <c r="F276" s="233"/>
    </row>
    <row r="277" spans="1:6" s="5" customFormat="1" x14ac:dyDescent="0.25">
      <c r="A277" s="40">
        <f>COUNT(A$265:A276)+1</f>
        <v>3</v>
      </c>
      <c r="B277" s="18" t="s">
        <v>386</v>
      </c>
      <c r="C277" s="232"/>
      <c r="D277" s="92"/>
      <c r="E277" s="125"/>
      <c r="F277" s="233"/>
    </row>
    <row r="278" spans="1:6" s="5" customFormat="1" ht="94.5" x14ac:dyDescent="0.25">
      <c r="A278" s="40"/>
      <c r="B278" s="24" t="s">
        <v>387</v>
      </c>
      <c r="C278" s="86" t="s">
        <v>106</v>
      </c>
      <c r="D278" s="87">
        <v>10</v>
      </c>
      <c r="E278" s="94"/>
      <c r="F278" s="74">
        <f>D278*E278</f>
        <v>0</v>
      </c>
    </row>
    <row r="279" spans="1:6" s="5" customFormat="1" x14ac:dyDescent="0.25">
      <c r="A279" s="40"/>
      <c r="B279" s="24"/>
      <c r="C279" s="93"/>
      <c r="D279" s="92"/>
      <c r="E279" s="96"/>
      <c r="F279" s="74"/>
    </row>
    <row r="280" spans="1:6" s="5" customFormat="1" x14ac:dyDescent="0.25">
      <c r="A280" s="40">
        <f>COUNT(A$265:A279)+1</f>
        <v>4</v>
      </c>
      <c r="B280" s="18" t="s">
        <v>145</v>
      </c>
      <c r="C280" s="93"/>
      <c r="D280" s="92"/>
      <c r="E280" s="96"/>
      <c r="F280" s="74"/>
    </row>
    <row r="281" spans="1:6" s="5" customFormat="1" ht="47.25" x14ac:dyDescent="0.25">
      <c r="A281" s="40"/>
      <c r="B281" s="65" t="s">
        <v>146</v>
      </c>
      <c r="C281" s="93"/>
      <c r="D281" s="92"/>
      <c r="E281" s="96"/>
      <c r="F281" s="74"/>
    </row>
    <row r="282" spans="1:6" s="5" customFormat="1" x14ac:dyDescent="0.25">
      <c r="A282" s="40"/>
      <c r="B282" s="65" t="s">
        <v>147</v>
      </c>
      <c r="C282" s="93" t="s">
        <v>118</v>
      </c>
      <c r="D282" s="92">
        <v>3</v>
      </c>
      <c r="E282" s="96"/>
      <c r="F282" s="74">
        <f>D282*E282</f>
        <v>0</v>
      </c>
    </row>
    <row r="283" spans="1:6" s="5" customFormat="1" x14ac:dyDescent="0.25">
      <c r="A283" s="40"/>
      <c r="B283" s="65"/>
      <c r="C283" s="93"/>
      <c r="D283" s="92"/>
      <c r="E283" s="96"/>
      <c r="F283" s="74"/>
    </row>
    <row r="284" spans="1:6" s="5" customFormat="1" x14ac:dyDescent="0.25">
      <c r="A284" s="40">
        <f>COUNT(A$265:A283)+1</f>
        <v>5</v>
      </c>
      <c r="B284" s="18" t="s">
        <v>148</v>
      </c>
      <c r="C284" s="93"/>
      <c r="D284" s="92"/>
      <c r="E284" s="96"/>
      <c r="F284" s="74"/>
    </row>
    <row r="285" spans="1:6" s="5" customFormat="1" ht="31.5" x14ac:dyDescent="0.25">
      <c r="A285" s="40"/>
      <c r="B285" s="65" t="s">
        <v>149</v>
      </c>
      <c r="C285" s="93"/>
      <c r="D285" s="92"/>
      <c r="E285" s="96"/>
      <c r="F285" s="74"/>
    </row>
    <row r="286" spans="1:6" s="5" customFormat="1" x14ac:dyDescent="0.25">
      <c r="A286" s="40" t="s">
        <v>116</v>
      </c>
      <c r="B286" s="24" t="s">
        <v>150</v>
      </c>
      <c r="C286" s="93" t="s">
        <v>151</v>
      </c>
      <c r="D286" s="92">
        <v>40</v>
      </c>
      <c r="E286" s="96"/>
      <c r="F286" s="74">
        <f>D286*E286</f>
        <v>0</v>
      </c>
    </row>
    <row r="287" spans="1:6" s="5" customFormat="1" x14ac:dyDescent="0.25">
      <c r="A287" s="40" t="str">
        <f>CHAR(CODE(A286)+1)&amp;")"</f>
        <v>b)</v>
      </c>
      <c r="B287" s="24" t="s">
        <v>152</v>
      </c>
      <c r="C287" s="93" t="s">
        <v>151</v>
      </c>
      <c r="D287" s="92">
        <v>40</v>
      </c>
      <c r="E287" s="96"/>
      <c r="F287" s="74">
        <f>D287*E287</f>
        <v>0</v>
      </c>
    </row>
    <row r="288" spans="1:6" s="5" customFormat="1" x14ac:dyDescent="0.25">
      <c r="A288" s="40"/>
      <c r="B288" s="20"/>
      <c r="C288" s="86"/>
      <c r="D288" s="87"/>
      <c r="E288" s="94"/>
      <c r="F288" s="74"/>
    </row>
    <row r="289" spans="1:6" s="5" customFormat="1" x14ac:dyDescent="0.25">
      <c r="A289" s="40">
        <f>COUNT(A$265:A288)+1</f>
        <v>6</v>
      </c>
      <c r="B289" s="18" t="s">
        <v>154</v>
      </c>
      <c r="C289" s="93"/>
      <c r="D289" s="92"/>
      <c r="E289" s="96"/>
      <c r="F289" s="74"/>
    </row>
    <row r="290" spans="1:6" s="5" customFormat="1" ht="126" x14ac:dyDescent="0.25">
      <c r="A290" s="40"/>
      <c r="B290" s="65" t="s">
        <v>225</v>
      </c>
      <c r="C290" s="93" t="s">
        <v>111</v>
      </c>
      <c r="D290" s="92">
        <v>1</v>
      </c>
      <c r="E290" s="96"/>
      <c r="F290" s="74">
        <f>D290*E290</f>
        <v>0</v>
      </c>
    </row>
    <row r="291" spans="1:6" x14ac:dyDescent="0.25">
      <c r="B291" s="20"/>
      <c r="D291" s="81"/>
      <c r="E291" s="95"/>
      <c r="F291" s="72"/>
    </row>
    <row r="292" spans="1:6" x14ac:dyDescent="0.25">
      <c r="A292" s="39"/>
      <c r="B292" s="21" t="str">
        <f>"UKUPNO - "&amp;TEXT(A265,) &amp;" " &amp;TEXT(B265,)&amp;" (€):"</f>
        <v>UKUPNO - A.11. RAZNI RADOVI (€):</v>
      </c>
      <c r="C292" s="82"/>
      <c r="D292" s="83"/>
      <c r="E292" s="98"/>
      <c r="F292" s="72">
        <f>SUM(F265:F291)</f>
        <v>0</v>
      </c>
    </row>
    <row r="293" spans="1:6" s="5" customFormat="1" x14ac:dyDescent="0.25">
      <c r="A293" s="40"/>
      <c r="B293" s="18"/>
      <c r="C293" s="84"/>
      <c r="D293" s="85"/>
      <c r="E293" s="125"/>
      <c r="F293" s="71"/>
    </row>
    <row r="295" spans="1:6" x14ac:dyDescent="0.25">
      <c r="A295" s="39" t="str">
        <f>TEXT($A$7,)&amp;"12."</f>
        <v>A.12.</v>
      </c>
      <c r="B295" s="21" t="s">
        <v>397</v>
      </c>
      <c r="C295" s="82"/>
      <c r="D295" s="83"/>
      <c r="E295" s="97"/>
      <c r="F295" s="70"/>
    </row>
    <row r="296" spans="1:6" s="5" customFormat="1" x14ac:dyDescent="0.25">
      <c r="A296" s="40"/>
      <c r="B296" s="24"/>
      <c r="C296" s="93"/>
      <c r="D296" s="92"/>
      <c r="E296" s="96"/>
      <c r="F296" s="74"/>
    </row>
    <row r="297" spans="1:6" s="5" customFormat="1" ht="189" x14ac:dyDescent="0.25">
      <c r="A297" s="40">
        <f>COUNT(A$295:A296)+1</f>
        <v>1</v>
      </c>
      <c r="B297" s="65" t="s">
        <v>409</v>
      </c>
      <c r="C297" s="93"/>
      <c r="D297" s="92"/>
      <c r="E297" s="96"/>
      <c r="F297" s="74"/>
    </row>
    <row r="298" spans="1:6" s="5" customFormat="1" x14ac:dyDescent="0.25">
      <c r="A298" s="40"/>
      <c r="B298" s="65" t="s">
        <v>408</v>
      </c>
      <c r="C298" s="93"/>
      <c r="D298" s="92"/>
      <c r="E298" s="96"/>
      <c r="F298" s="74"/>
    </row>
    <row r="299" spans="1:6" s="5" customFormat="1" x14ac:dyDescent="0.25">
      <c r="A299" s="40"/>
      <c r="B299" s="65" t="s">
        <v>410</v>
      </c>
      <c r="C299" s="93"/>
      <c r="D299" s="92"/>
      <c r="E299" s="96"/>
      <c r="F299" s="74"/>
    </row>
    <row r="300" spans="1:6" s="5" customFormat="1" ht="18" x14ac:dyDescent="0.25">
      <c r="A300" s="40"/>
      <c r="B300" s="65" t="s">
        <v>412</v>
      </c>
      <c r="C300" s="93"/>
      <c r="D300" s="92"/>
      <c r="E300" s="96"/>
      <c r="F300" s="74"/>
    </row>
    <row r="301" spans="1:6" s="5" customFormat="1" x14ac:dyDescent="0.25">
      <c r="A301" s="40"/>
      <c r="B301" s="65" t="s">
        <v>413</v>
      </c>
      <c r="C301" s="93"/>
      <c r="D301" s="92"/>
      <c r="E301" s="96"/>
      <c r="F301" s="74"/>
    </row>
    <row r="302" spans="1:6" s="5" customFormat="1" x14ac:dyDescent="0.25">
      <c r="A302" s="40"/>
      <c r="B302" s="65" t="s">
        <v>414</v>
      </c>
      <c r="C302" s="93"/>
      <c r="D302" s="92"/>
      <c r="E302" s="96"/>
      <c r="F302" s="74"/>
    </row>
    <row r="303" spans="1:6" s="5" customFormat="1" x14ac:dyDescent="0.25">
      <c r="A303" s="40"/>
      <c r="B303" s="65" t="s">
        <v>415</v>
      </c>
      <c r="C303" s="93"/>
      <c r="D303" s="92"/>
      <c r="E303" s="96"/>
      <c r="F303" s="74"/>
    </row>
    <row r="304" spans="1:6" s="5" customFormat="1" x14ac:dyDescent="0.25">
      <c r="A304" s="40"/>
      <c r="B304" s="65" t="s">
        <v>416</v>
      </c>
      <c r="C304" s="93"/>
      <c r="D304" s="92"/>
      <c r="E304" s="96"/>
      <c r="F304" s="74"/>
    </row>
    <row r="305" spans="1:6" s="5" customFormat="1" x14ac:dyDescent="0.25">
      <c r="A305" s="40"/>
      <c r="B305" s="65" t="s">
        <v>417</v>
      </c>
      <c r="C305" s="93"/>
      <c r="D305" s="92"/>
      <c r="E305" s="96"/>
      <c r="F305" s="74"/>
    </row>
    <row r="306" spans="1:6" s="5" customFormat="1" x14ac:dyDescent="0.25">
      <c r="A306" s="40"/>
      <c r="B306" s="65" t="s">
        <v>418</v>
      </c>
      <c r="C306" s="93"/>
      <c r="D306" s="92"/>
      <c r="E306" s="96"/>
      <c r="F306" s="74"/>
    </row>
    <row r="307" spans="1:6" s="5" customFormat="1" x14ac:dyDescent="0.25">
      <c r="A307" s="40"/>
      <c r="B307" s="65" t="s">
        <v>419</v>
      </c>
      <c r="C307" s="93"/>
      <c r="D307" s="92"/>
      <c r="E307" s="96"/>
      <c r="F307" s="74"/>
    </row>
    <row r="308" spans="1:6" s="5" customFormat="1" x14ac:dyDescent="0.25">
      <c r="A308" s="40"/>
      <c r="B308" s="65" t="s">
        <v>420</v>
      </c>
      <c r="C308" s="93"/>
      <c r="D308" s="92"/>
      <c r="E308" s="96"/>
      <c r="F308" s="74"/>
    </row>
    <row r="309" spans="1:6" s="5" customFormat="1" x14ac:dyDescent="0.25">
      <c r="A309" s="40"/>
      <c r="B309" s="65" t="s">
        <v>421</v>
      </c>
      <c r="C309" s="93"/>
      <c r="D309" s="92"/>
      <c r="E309" s="96"/>
      <c r="F309" s="74"/>
    </row>
    <row r="310" spans="1:6" s="5" customFormat="1" x14ac:dyDescent="0.25">
      <c r="A310" s="40"/>
      <c r="B310" s="65" t="s">
        <v>422</v>
      </c>
      <c r="C310" s="93"/>
      <c r="D310" s="92"/>
      <c r="E310" s="96"/>
      <c r="F310" s="74"/>
    </row>
    <row r="311" spans="1:6" s="5" customFormat="1" x14ac:dyDescent="0.25">
      <c r="A311" s="40"/>
      <c r="B311" s="65" t="s">
        <v>423</v>
      </c>
      <c r="C311" s="93"/>
      <c r="D311" s="92"/>
      <c r="E311" s="96"/>
      <c r="F311" s="74"/>
    </row>
    <row r="312" spans="1:6" s="5" customFormat="1" x14ac:dyDescent="0.25">
      <c r="A312" s="40"/>
      <c r="B312" s="65" t="s">
        <v>424</v>
      </c>
      <c r="C312" s="93"/>
      <c r="D312" s="92"/>
      <c r="E312" s="96"/>
      <c r="F312" s="74"/>
    </row>
    <row r="313" spans="1:6" s="5" customFormat="1" x14ac:dyDescent="0.25">
      <c r="A313" s="40"/>
      <c r="B313" s="65" t="s">
        <v>425</v>
      </c>
      <c r="C313" s="93"/>
      <c r="D313" s="92"/>
      <c r="E313" s="96"/>
      <c r="F313" s="74"/>
    </row>
    <row r="314" spans="1:6" s="5" customFormat="1" x14ac:dyDescent="0.25">
      <c r="A314" s="40"/>
      <c r="B314" s="65" t="s">
        <v>426</v>
      </c>
      <c r="C314" s="93"/>
      <c r="D314" s="92"/>
      <c r="E314" s="96"/>
      <c r="F314" s="74"/>
    </row>
    <row r="315" spans="1:6" s="5" customFormat="1" x14ac:dyDescent="0.25">
      <c r="A315" s="40"/>
      <c r="B315" s="65" t="s">
        <v>427</v>
      </c>
      <c r="C315" s="93"/>
      <c r="D315" s="92"/>
      <c r="E315" s="96"/>
      <c r="F315" s="74"/>
    </row>
    <row r="316" spans="1:6" s="5" customFormat="1" x14ac:dyDescent="0.25">
      <c r="A316" s="40"/>
      <c r="B316" s="65" t="s">
        <v>428</v>
      </c>
      <c r="C316" s="93"/>
      <c r="D316" s="92"/>
      <c r="E316" s="96"/>
      <c r="F316" s="74"/>
    </row>
    <row r="317" spans="1:6" s="5" customFormat="1" x14ac:dyDescent="0.25">
      <c r="A317" s="40"/>
      <c r="B317" s="65" t="s">
        <v>429</v>
      </c>
      <c r="C317" s="93"/>
      <c r="D317" s="92"/>
      <c r="E317" s="96"/>
      <c r="F317" s="74"/>
    </row>
    <row r="318" spans="1:6" s="5" customFormat="1" x14ac:dyDescent="0.25">
      <c r="A318" s="40"/>
      <c r="B318" s="65" t="s">
        <v>430</v>
      </c>
      <c r="C318" s="93"/>
      <c r="D318" s="92"/>
      <c r="E318" s="96"/>
      <c r="F318" s="74"/>
    </row>
    <row r="319" spans="1:6" s="5" customFormat="1" x14ac:dyDescent="0.25">
      <c r="A319" s="40"/>
      <c r="B319" s="65" t="s">
        <v>431</v>
      </c>
      <c r="C319" s="93"/>
      <c r="D319" s="92"/>
      <c r="E319" s="96"/>
      <c r="F319" s="74"/>
    </row>
    <row r="320" spans="1:6" s="5" customFormat="1" x14ac:dyDescent="0.25">
      <c r="A320" s="40"/>
      <c r="B320" s="65" t="s">
        <v>432</v>
      </c>
      <c r="C320" s="93"/>
      <c r="D320" s="92"/>
      <c r="E320" s="96"/>
      <c r="F320" s="74"/>
    </row>
    <row r="321" spans="1:6" s="5" customFormat="1" x14ac:dyDescent="0.25">
      <c r="A321" s="40"/>
      <c r="B321" s="65" t="s">
        <v>398</v>
      </c>
      <c r="C321" s="93"/>
      <c r="D321" s="92"/>
      <c r="E321" s="96"/>
      <c r="F321" s="74"/>
    </row>
    <row r="322" spans="1:6" s="5" customFormat="1" x14ac:dyDescent="0.25">
      <c r="A322" s="40"/>
      <c r="B322" s="235" t="s">
        <v>399</v>
      </c>
      <c r="C322" s="93"/>
      <c r="D322" s="92"/>
      <c r="E322" s="96"/>
      <c r="F322" s="74"/>
    </row>
    <row r="323" spans="1:6" s="5" customFormat="1" x14ac:dyDescent="0.25">
      <c r="A323" s="40"/>
      <c r="B323" s="235" t="s">
        <v>400</v>
      </c>
      <c r="F323" s="74"/>
    </row>
    <row r="324" spans="1:6" s="5" customFormat="1" x14ac:dyDescent="0.25">
      <c r="A324" s="40"/>
      <c r="B324" s="65" t="s">
        <v>411</v>
      </c>
      <c r="C324" s="93" t="s">
        <v>107</v>
      </c>
      <c r="D324" s="92">
        <v>2</v>
      </c>
      <c r="E324" s="96"/>
      <c r="F324" s="74">
        <f>D324*E324</f>
        <v>0</v>
      </c>
    </row>
    <row r="325" spans="1:6" s="5" customFormat="1" x14ac:dyDescent="0.25">
      <c r="A325" s="40"/>
      <c r="B325" s="65"/>
      <c r="C325" s="93"/>
      <c r="D325" s="92"/>
      <c r="E325" s="96"/>
      <c r="F325" s="74"/>
    </row>
    <row r="326" spans="1:6" s="5" customFormat="1" ht="94.5" x14ac:dyDescent="0.25">
      <c r="A326" s="40">
        <f>COUNT(A$295:A325)+1</f>
        <v>2</v>
      </c>
      <c r="B326" s="65" t="s">
        <v>401</v>
      </c>
      <c r="C326" s="93"/>
      <c r="D326" s="92"/>
      <c r="E326" s="96"/>
      <c r="F326" s="74"/>
    </row>
    <row r="327" spans="1:6" s="5" customFormat="1" x14ac:dyDescent="0.25">
      <c r="A327" s="40"/>
      <c r="B327" s="65" t="s">
        <v>402</v>
      </c>
      <c r="C327" s="93" t="s">
        <v>106</v>
      </c>
      <c r="D327" s="92">
        <v>10</v>
      </c>
      <c r="E327" s="96"/>
      <c r="F327" s="74">
        <f>D327*E327</f>
        <v>0</v>
      </c>
    </row>
    <row r="328" spans="1:6" s="5" customFormat="1" x14ac:dyDescent="0.25">
      <c r="A328" s="40"/>
      <c r="B328" s="65"/>
      <c r="C328" s="93"/>
      <c r="D328" s="92"/>
      <c r="E328" s="96"/>
      <c r="F328" s="74"/>
    </row>
    <row r="329" spans="1:6" s="5" customFormat="1" x14ac:dyDescent="0.25">
      <c r="A329" s="40">
        <f>COUNT(A$295:A328)+1</f>
        <v>3</v>
      </c>
      <c r="B329" s="65" t="s">
        <v>403</v>
      </c>
      <c r="C329" s="93"/>
      <c r="D329" s="92"/>
      <c r="E329" s="96"/>
      <c r="F329" s="74"/>
    </row>
    <row r="330" spans="1:6" s="5" customFormat="1" ht="78.75" x14ac:dyDescent="0.25">
      <c r="A330" s="40"/>
      <c r="B330" s="65" t="s">
        <v>404</v>
      </c>
      <c r="C330" s="93"/>
      <c r="D330" s="92"/>
      <c r="E330" s="96"/>
      <c r="F330" s="74"/>
    </row>
    <row r="331" spans="1:6" s="5" customFormat="1" x14ac:dyDescent="0.25">
      <c r="A331" s="40"/>
      <c r="B331" s="65" t="s">
        <v>405</v>
      </c>
      <c r="C331" s="93" t="s">
        <v>107</v>
      </c>
      <c r="D331" s="92">
        <v>4</v>
      </c>
      <c r="E331" s="96"/>
      <c r="F331" s="74">
        <f>D331*E331</f>
        <v>0</v>
      </c>
    </row>
    <row r="332" spans="1:6" s="5" customFormat="1" x14ac:dyDescent="0.25">
      <c r="A332" s="40"/>
      <c r="B332" s="65"/>
      <c r="C332" s="93"/>
      <c r="D332" s="92"/>
      <c r="E332" s="96"/>
      <c r="F332" s="74"/>
    </row>
    <row r="333" spans="1:6" s="5" customFormat="1" ht="126" x14ac:dyDescent="0.25">
      <c r="A333" s="40">
        <f>COUNT(A$295:A332)+1</f>
        <v>4</v>
      </c>
      <c r="B333" s="65" t="s">
        <v>406</v>
      </c>
      <c r="C333" s="93" t="s">
        <v>111</v>
      </c>
      <c r="D333" s="92">
        <v>1</v>
      </c>
      <c r="E333" s="96"/>
      <c r="F333" s="74">
        <f>D333*E333</f>
        <v>0</v>
      </c>
    </row>
    <row r="334" spans="1:6" s="5" customFormat="1" x14ac:dyDescent="0.25">
      <c r="A334" s="40"/>
      <c r="B334" s="65"/>
      <c r="C334" s="93"/>
      <c r="D334" s="92"/>
      <c r="E334" s="96"/>
      <c r="F334" s="74"/>
    </row>
    <row r="335" spans="1:6" s="5" customFormat="1" ht="126" x14ac:dyDescent="0.25">
      <c r="A335" s="40">
        <f>COUNT(A$295:A334)+1</f>
        <v>5</v>
      </c>
      <c r="B335" s="65" t="s">
        <v>407</v>
      </c>
      <c r="C335" s="93" t="s">
        <v>111</v>
      </c>
      <c r="D335" s="92">
        <v>1</v>
      </c>
      <c r="E335" s="96"/>
      <c r="F335" s="74">
        <f>D335*E335</f>
        <v>0</v>
      </c>
    </row>
    <row r="336" spans="1:6" s="5" customFormat="1" x14ac:dyDescent="0.25">
      <c r="A336" s="40"/>
      <c r="B336" s="65"/>
      <c r="C336" s="93"/>
      <c r="D336" s="92"/>
      <c r="E336" s="96"/>
      <c r="F336" s="74"/>
    </row>
    <row r="337" spans="1:6" s="5" customFormat="1" ht="47.25" x14ac:dyDescent="0.25">
      <c r="A337" s="40">
        <f>COUNT(A$295:A335)+1</f>
        <v>6</v>
      </c>
      <c r="B337" s="65" t="s">
        <v>433</v>
      </c>
      <c r="C337" s="93" t="s">
        <v>111</v>
      </c>
      <c r="D337" s="92">
        <v>2</v>
      </c>
      <c r="E337" s="96"/>
      <c r="F337" s="74">
        <f>D337*E337</f>
        <v>0</v>
      </c>
    </row>
    <row r="338" spans="1:6" x14ac:dyDescent="0.25">
      <c r="B338" s="20"/>
      <c r="D338" s="81"/>
      <c r="E338" s="95"/>
      <c r="F338" s="72"/>
    </row>
    <row r="339" spans="1:6" x14ac:dyDescent="0.25">
      <c r="A339" s="39"/>
      <c r="B339" s="21" t="str">
        <f>"UKUPNO - "&amp;TEXT(A295,) &amp;" " &amp;TEXT(B295,)&amp;" (€):"</f>
        <v>UKUPNO - A.12. SANITARNA VENTILACIJA (€):</v>
      </c>
      <c r="C339" s="82"/>
      <c r="D339" s="83"/>
      <c r="E339" s="98"/>
      <c r="F339" s="72">
        <f>SUM(F295:F338)</f>
        <v>0</v>
      </c>
    </row>
    <row r="340" spans="1:6" s="5" customFormat="1" x14ac:dyDescent="0.25">
      <c r="A340" s="40"/>
      <c r="B340" s="18"/>
      <c r="C340" s="84"/>
      <c r="D340" s="85"/>
      <c r="E340" s="125"/>
      <c r="F340" s="71"/>
    </row>
    <row r="342" spans="1:6" x14ac:dyDescent="0.25">
      <c r="A342" s="39" t="str">
        <f>TEXT($A$7,)&amp;"13."</f>
        <v>A.13.</v>
      </c>
      <c r="B342" s="21" t="s">
        <v>458</v>
      </c>
      <c r="C342" s="82"/>
      <c r="D342" s="83"/>
      <c r="E342" s="97"/>
      <c r="F342" s="70"/>
    </row>
    <row r="343" spans="1:6" s="5" customFormat="1" x14ac:dyDescent="0.25">
      <c r="A343" s="40"/>
      <c r="B343" s="24"/>
      <c r="C343" s="93"/>
      <c r="D343" s="92"/>
      <c r="E343" s="96"/>
      <c r="F343" s="74"/>
    </row>
    <row r="344" spans="1:6" s="5" customFormat="1" ht="94.5" x14ac:dyDescent="0.25">
      <c r="A344" s="40">
        <f>COUNT($A$342:A343)+1</f>
        <v>1</v>
      </c>
      <c r="B344" s="65" t="s">
        <v>459</v>
      </c>
      <c r="C344" s="93"/>
      <c r="D344" s="92"/>
      <c r="E344" s="96"/>
      <c r="F344" s="74"/>
    </row>
    <row r="345" spans="1:6" s="5" customFormat="1" x14ac:dyDescent="0.25">
      <c r="A345" s="40"/>
      <c r="B345" s="65" t="s">
        <v>460</v>
      </c>
      <c r="C345" s="93"/>
      <c r="D345" s="92"/>
      <c r="E345" s="96"/>
      <c r="F345" s="74"/>
    </row>
    <row r="346" spans="1:6" s="5" customFormat="1" x14ac:dyDescent="0.25">
      <c r="A346" s="40"/>
      <c r="B346" s="65" t="s">
        <v>461</v>
      </c>
      <c r="C346" s="93"/>
      <c r="D346" s="92"/>
      <c r="E346" s="96"/>
      <c r="F346" s="74"/>
    </row>
    <row r="347" spans="1:6" s="5" customFormat="1" x14ac:dyDescent="0.25">
      <c r="A347" s="40"/>
      <c r="B347" s="65" t="s">
        <v>462</v>
      </c>
      <c r="C347" s="93"/>
      <c r="D347" s="92"/>
      <c r="E347" s="96"/>
      <c r="F347" s="74"/>
    </row>
    <row r="348" spans="1:6" s="5" customFormat="1" x14ac:dyDescent="0.25">
      <c r="A348" s="40"/>
      <c r="B348" s="65" t="s">
        <v>463</v>
      </c>
      <c r="C348" s="93"/>
      <c r="D348" s="92"/>
      <c r="E348" s="96"/>
      <c r="F348" s="74"/>
    </row>
    <row r="349" spans="1:6" s="5" customFormat="1" x14ac:dyDescent="0.25">
      <c r="A349" s="40"/>
      <c r="B349" s="65" t="s">
        <v>464</v>
      </c>
      <c r="C349" s="93"/>
      <c r="D349" s="92"/>
      <c r="E349" s="96"/>
      <c r="F349" s="74"/>
    </row>
    <row r="350" spans="1:6" s="5" customFormat="1" x14ac:dyDescent="0.25">
      <c r="A350" s="40"/>
      <c r="B350" s="65" t="s">
        <v>465</v>
      </c>
      <c r="C350" s="93"/>
      <c r="D350" s="92"/>
      <c r="E350" s="96"/>
      <c r="F350" s="74"/>
    </row>
    <row r="351" spans="1:6" s="5" customFormat="1" x14ac:dyDescent="0.25">
      <c r="A351" s="40"/>
      <c r="B351" s="65" t="s">
        <v>466</v>
      </c>
      <c r="C351" s="93"/>
      <c r="D351" s="92"/>
      <c r="E351" s="96"/>
      <c r="F351" s="74"/>
    </row>
    <row r="352" spans="1:6" s="5" customFormat="1" x14ac:dyDescent="0.25">
      <c r="A352" s="40"/>
      <c r="B352" s="65" t="s">
        <v>467</v>
      </c>
      <c r="C352" s="93"/>
      <c r="D352" s="92"/>
      <c r="E352" s="96"/>
      <c r="F352" s="74"/>
    </row>
    <row r="353" spans="1:6" s="5" customFormat="1" x14ac:dyDescent="0.25">
      <c r="A353" s="40"/>
      <c r="B353" s="65" t="s">
        <v>468</v>
      </c>
      <c r="C353" s="93"/>
      <c r="D353" s="92"/>
      <c r="E353" s="96"/>
      <c r="F353" s="74"/>
    </row>
    <row r="354" spans="1:6" s="5" customFormat="1" x14ac:dyDescent="0.25">
      <c r="A354" s="40"/>
      <c r="B354" s="65" t="s">
        <v>469</v>
      </c>
      <c r="C354" s="93"/>
      <c r="D354" s="92"/>
      <c r="E354" s="96"/>
      <c r="F354" s="74"/>
    </row>
    <row r="355" spans="1:6" s="5" customFormat="1" x14ac:dyDescent="0.25">
      <c r="A355" s="40"/>
      <c r="B355" s="65" t="s">
        <v>470</v>
      </c>
      <c r="C355" s="93"/>
      <c r="D355" s="92"/>
      <c r="E355" s="96"/>
      <c r="F355" s="74"/>
    </row>
    <row r="356" spans="1:6" s="5" customFormat="1" x14ac:dyDescent="0.25">
      <c r="A356" s="40"/>
      <c r="B356" s="65" t="s">
        <v>471</v>
      </c>
      <c r="C356" s="93"/>
      <c r="D356" s="92"/>
      <c r="E356" s="96"/>
      <c r="F356" s="74"/>
    </row>
    <row r="357" spans="1:6" s="5" customFormat="1" ht="31.5" x14ac:dyDescent="0.25">
      <c r="A357" s="40"/>
      <c r="B357" s="65" t="s">
        <v>472</v>
      </c>
      <c r="C357" s="93"/>
      <c r="D357" s="92"/>
      <c r="E357" s="96"/>
      <c r="F357" s="74"/>
    </row>
    <row r="358" spans="1:6" s="5" customFormat="1" x14ac:dyDescent="0.25">
      <c r="A358" s="40"/>
      <c r="B358" s="65" t="s">
        <v>473</v>
      </c>
      <c r="C358" s="93"/>
      <c r="D358" s="92"/>
      <c r="E358" s="96"/>
      <c r="F358" s="74"/>
    </row>
    <row r="359" spans="1:6" s="5" customFormat="1" x14ac:dyDescent="0.25">
      <c r="A359" s="40"/>
      <c r="B359" s="65" t="s">
        <v>474</v>
      </c>
      <c r="C359" s="93"/>
      <c r="D359" s="92"/>
      <c r="E359" s="96"/>
      <c r="F359" s="74"/>
    </row>
    <row r="360" spans="1:6" s="5" customFormat="1" x14ac:dyDescent="0.25">
      <c r="A360" s="40"/>
      <c r="B360" s="65" t="s">
        <v>475</v>
      </c>
      <c r="C360" s="93"/>
      <c r="D360" s="92"/>
      <c r="E360" s="96"/>
      <c r="F360" s="74"/>
    </row>
    <row r="361" spans="1:6" s="5" customFormat="1" x14ac:dyDescent="0.25">
      <c r="A361" s="40"/>
      <c r="B361" s="65" t="s">
        <v>476</v>
      </c>
      <c r="C361" s="93"/>
      <c r="D361" s="92"/>
      <c r="E361" s="96"/>
      <c r="F361" s="74"/>
    </row>
    <row r="362" spans="1:6" s="5" customFormat="1" x14ac:dyDescent="0.25">
      <c r="A362" s="40"/>
      <c r="B362" s="65" t="s">
        <v>477</v>
      </c>
      <c r="C362" s="93" t="s">
        <v>107</v>
      </c>
      <c r="D362" s="92">
        <v>1</v>
      </c>
      <c r="E362" s="96"/>
      <c r="F362" s="74">
        <f>D362*E362</f>
        <v>0</v>
      </c>
    </row>
    <row r="363" spans="1:6" s="5" customFormat="1" x14ac:dyDescent="0.25">
      <c r="A363" s="40"/>
      <c r="B363" s="65"/>
      <c r="C363" s="93"/>
      <c r="D363" s="92"/>
      <c r="E363" s="96"/>
      <c r="F363" s="74"/>
    </row>
    <row r="364" spans="1:6" s="5" customFormat="1" ht="78.75" x14ac:dyDescent="0.25">
      <c r="A364" s="40">
        <f>COUNT($A$342:A363)+1</f>
        <v>2</v>
      </c>
      <c r="B364" s="65" t="s">
        <v>478</v>
      </c>
      <c r="C364" s="93"/>
      <c r="D364" s="92"/>
      <c r="E364" s="96"/>
      <c r="F364" s="74"/>
    </row>
    <row r="365" spans="1:6" s="5" customFormat="1" x14ac:dyDescent="0.25">
      <c r="A365" s="40"/>
      <c r="B365" s="65" t="s">
        <v>479</v>
      </c>
      <c r="C365" s="93"/>
      <c r="D365" s="92"/>
      <c r="E365" s="96"/>
      <c r="F365" s="74"/>
    </row>
    <row r="366" spans="1:6" s="5" customFormat="1" x14ac:dyDescent="0.25">
      <c r="A366" s="40"/>
      <c r="B366" s="65" t="s">
        <v>480</v>
      </c>
      <c r="C366" s="93"/>
      <c r="D366" s="92"/>
      <c r="E366" s="96"/>
      <c r="F366" s="74"/>
    </row>
    <row r="367" spans="1:6" s="5" customFormat="1" ht="47.25" x14ac:dyDescent="0.25">
      <c r="A367" s="40"/>
      <c r="B367" s="65" t="s">
        <v>481</v>
      </c>
      <c r="C367" s="93"/>
      <c r="D367" s="92"/>
      <c r="E367" s="96"/>
      <c r="F367" s="74"/>
    </row>
    <row r="368" spans="1:6" s="5" customFormat="1" x14ac:dyDescent="0.25">
      <c r="A368" s="40"/>
      <c r="B368" s="65" t="s">
        <v>482</v>
      </c>
      <c r="C368" s="93"/>
      <c r="D368" s="92"/>
      <c r="E368" s="96"/>
      <c r="F368" s="74"/>
    </row>
    <row r="369" spans="1:6" s="5" customFormat="1" x14ac:dyDescent="0.25">
      <c r="A369" s="40"/>
      <c r="B369" s="65" t="s">
        <v>483</v>
      </c>
      <c r="C369" s="93"/>
      <c r="D369" s="92"/>
      <c r="E369" s="96"/>
      <c r="F369" s="74"/>
    </row>
    <row r="370" spans="1:6" s="5" customFormat="1" x14ac:dyDescent="0.25">
      <c r="A370" s="40"/>
      <c r="B370" s="65" t="s">
        <v>484</v>
      </c>
      <c r="C370" s="93"/>
      <c r="D370" s="92"/>
      <c r="E370" s="96"/>
      <c r="F370" s="74"/>
    </row>
    <row r="371" spans="1:6" s="5" customFormat="1" x14ac:dyDescent="0.25">
      <c r="A371" s="40"/>
      <c r="B371" s="65" t="s">
        <v>485</v>
      </c>
      <c r="C371" s="93"/>
      <c r="D371" s="92"/>
      <c r="E371" s="96"/>
      <c r="F371" s="74"/>
    </row>
    <row r="372" spans="1:6" s="5" customFormat="1" x14ac:dyDescent="0.25">
      <c r="A372" s="40"/>
      <c r="B372" s="65" t="s">
        <v>486</v>
      </c>
      <c r="C372" s="93"/>
      <c r="D372" s="92"/>
      <c r="E372" s="96"/>
      <c r="F372" s="74"/>
    </row>
    <row r="373" spans="1:6" s="5" customFormat="1" x14ac:dyDescent="0.25">
      <c r="A373" s="40"/>
      <c r="B373" s="65" t="s">
        <v>487</v>
      </c>
      <c r="C373" s="93"/>
      <c r="D373" s="92"/>
      <c r="E373" s="96"/>
      <c r="F373" s="74"/>
    </row>
    <row r="374" spans="1:6" s="5" customFormat="1" x14ac:dyDescent="0.25">
      <c r="A374" s="40"/>
      <c r="B374" s="65" t="s">
        <v>488</v>
      </c>
      <c r="C374" s="93"/>
      <c r="D374" s="92"/>
      <c r="E374" s="96"/>
      <c r="F374" s="74"/>
    </row>
    <row r="375" spans="1:6" s="5" customFormat="1" x14ac:dyDescent="0.25">
      <c r="A375" s="40"/>
      <c r="B375" s="65" t="s">
        <v>489</v>
      </c>
      <c r="C375" s="93"/>
      <c r="D375" s="92"/>
      <c r="E375" s="96"/>
      <c r="F375" s="74"/>
    </row>
    <row r="376" spans="1:6" s="5" customFormat="1" x14ac:dyDescent="0.25">
      <c r="A376" s="40"/>
      <c r="B376" s="65" t="s">
        <v>490</v>
      </c>
      <c r="C376" s="93"/>
      <c r="D376" s="92"/>
      <c r="E376" s="96"/>
      <c r="F376" s="74"/>
    </row>
    <row r="377" spans="1:6" s="5" customFormat="1" x14ac:dyDescent="0.25">
      <c r="A377" s="40"/>
      <c r="B377" s="65" t="s">
        <v>491</v>
      </c>
      <c r="C377" s="93"/>
      <c r="D377" s="92"/>
      <c r="E377" s="96"/>
      <c r="F377" s="74"/>
    </row>
    <row r="378" spans="1:6" s="5" customFormat="1" x14ac:dyDescent="0.25">
      <c r="A378" s="40"/>
      <c r="B378" s="65" t="s">
        <v>492</v>
      </c>
      <c r="C378" s="93"/>
      <c r="D378" s="92"/>
      <c r="E378" s="96"/>
      <c r="F378" s="74"/>
    </row>
    <row r="379" spans="1:6" s="5" customFormat="1" x14ac:dyDescent="0.25">
      <c r="A379" s="40"/>
      <c r="B379" s="65" t="s">
        <v>493</v>
      </c>
      <c r="C379" s="93"/>
      <c r="D379" s="92"/>
      <c r="E379" s="96"/>
      <c r="F379" s="74"/>
    </row>
    <row r="380" spans="1:6" s="5" customFormat="1" x14ac:dyDescent="0.25">
      <c r="A380" s="40"/>
      <c r="B380" s="65" t="s">
        <v>494</v>
      </c>
      <c r="C380" s="93"/>
      <c r="D380" s="92"/>
      <c r="E380" s="96"/>
      <c r="F380" s="74"/>
    </row>
    <row r="381" spans="1:6" s="5" customFormat="1" x14ac:dyDescent="0.25">
      <c r="A381" s="40"/>
      <c r="B381" s="65" t="s">
        <v>495</v>
      </c>
      <c r="C381" s="93"/>
      <c r="D381" s="92"/>
      <c r="E381" s="96"/>
      <c r="F381" s="74"/>
    </row>
    <row r="382" spans="1:6" s="5" customFormat="1" x14ac:dyDescent="0.25">
      <c r="A382" s="40"/>
      <c r="B382" s="65" t="s">
        <v>496</v>
      </c>
      <c r="C382" s="93"/>
      <c r="D382" s="92"/>
      <c r="E382" s="96"/>
      <c r="F382" s="74"/>
    </row>
    <row r="383" spans="1:6" s="5" customFormat="1" x14ac:dyDescent="0.25">
      <c r="A383" s="40"/>
      <c r="B383" s="65" t="s">
        <v>473</v>
      </c>
      <c r="C383" s="93"/>
      <c r="D383" s="92"/>
      <c r="E383" s="96"/>
      <c r="F383" s="74"/>
    </row>
    <row r="384" spans="1:6" s="5" customFormat="1" x14ac:dyDescent="0.25">
      <c r="A384" s="40"/>
      <c r="B384" s="65" t="s">
        <v>474</v>
      </c>
      <c r="C384" s="93"/>
      <c r="D384" s="92"/>
      <c r="E384" s="96"/>
      <c r="F384" s="74"/>
    </row>
    <row r="385" spans="1:6" s="5" customFormat="1" ht="31.5" x14ac:dyDescent="0.25">
      <c r="A385" s="40"/>
      <c r="B385" s="65" t="s">
        <v>497</v>
      </c>
      <c r="C385" s="93" t="s">
        <v>107</v>
      </c>
      <c r="D385" s="92">
        <v>1</v>
      </c>
      <c r="E385" s="96"/>
      <c r="F385" s="74">
        <f>D385*E385</f>
        <v>0</v>
      </c>
    </row>
    <row r="386" spans="1:6" s="5" customFormat="1" x14ac:dyDescent="0.25">
      <c r="A386" s="40"/>
      <c r="B386" s="65"/>
      <c r="C386" s="93"/>
      <c r="D386" s="92"/>
      <c r="E386" s="96"/>
      <c r="F386" s="74"/>
    </row>
    <row r="387" spans="1:6" s="5" customFormat="1" ht="63" x14ac:dyDescent="0.25">
      <c r="A387" s="40">
        <f>COUNT($A$342:A386)+1</f>
        <v>3</v>
      </c>
      <c r="B387" s="65" t="s">
        <v>498</v>
      </c>
      <c r="C387" s="93"/>
      <c r="D387" s="92"/>
      <c r="E387" s="96"/>
      <c r="F387" s="74"/>
    </row>
    <row r="388" spans="1:6" s="5" customFormat="1" x14ac:dyDescent="0.25">
      <c r="A388" s="40"/>
      <c r="B388" s="65" t="s">
        <v>499</v>
      </c>
      <c r="C388" s="93" t="s">
        <v>106</v>
      </c>
      <c r="D388" s="92">
        <v>10</v>
      </c>
      <c r="E388" s="96"/>
      <c r="F388" s="74">
        <f t="shared" ref="F388" si="10">D388*E388</f>
        <v>0</v>
      </c>
    </row>
    <row r="389" spans="1:6" s="5" customFormat="1" x14ac:dyDescent="0.25">
      <c r="A389" s="40"/>
      <c r="B389" s="65"/>
      <c r="C389" s="93"/>
      <c r="D389" s="92"/>
      <c r="E389" s="96"/>
      <c r="F389" s="74"/>
    </row>
    <row r="390" spans="1:6" s="5" customFormat="1" ht="78.75" x14ac:dyDescent="0.25">
      <c r="A390" s="40">
        <f>COUNT($A$342:A389)+1</f>
        <v>4</v>
      </c>
      <c r="B390" s="65" t="s">
        <v>500</v>
      </c>
      <c r="C390" s="93" t="s">
        <v>111</v>
      </c>
      <c r="D390" s="92">
        <v>2</v>
      </c>
      <c r="E390" s="96"/>
      <c r="F390" s="74">
        <f>D390*E390</f>
        <v>0</v>
      </c>
    </row>
    <row r="391" spans="1:6" s="5" customFormat="1" x14ac:dyDescent="0.25">
      <c r="A391" s="40"/>
      <c r="B391" s="65"/>
      <c r="C391" s="93"/>
      <c r="D391" s="92"/>
      <c r="E391" s="96"/>
      <c r="F391" s="74"/>
    </row>
    <row r="392" spans="1:6" s="5" customFormat="1" ht="31.5" x14ac:dyDescent="0.25">
      <c r="A392" s="40">
        <f>COUNT($A$342:A391)+1</f>
        <v>5</v>
      </c>
      <c r="B392" s="65" t="s">
        <v>501</v>
      </c>
      <c r="C392" s="93" t="s">
        <v>106</v>
      </c>
      <c r="D392" s="92">
        <v>10</v>
      </c>
      <c r="E392" s="96"/>
      <c r="F392" s="74">
        <f>D392*E392</f>
        <v>0</v>
      </c>
    </row>
    <row r="393" spans="1:6" s="5" customFormat="1" x14ac:dyDescent="0.25">
      <c r="A393" s="40"/>
      <c r="B393" s="65"/>
      <c r="C393" s="93"/>
      <c r="D393" s="92"/>
      <c r="E393" s="96"/>
      <c r="F393" s="74"/>
    </row>
    <row r="394" spans="1:6" s="5" customFormat="1" ht="78.75" x14ac:dyDescent="0.25">
      <c r="A394" s="40">
        <f>COUNT($A$342:A393)+1</f>
        <v>6</v>
      </c>
      <c r="B394" s="65" t="s">
        <v>502</v>
      </c>
      <c r="C394" s="93"/>
      <c r="D394" s="92"/>
      <c r="E394" s="96"/>
      <c r="F394" s="74"/>
    </row>
    <row r="395" spans="1:6" s="5" customFormat="1" x14ac:dyDescent="0.25">
      <c r="A395" s="40"/>
      <c r="B395" s="65" t="s">
        <v>503</v>
      </c>
      <c r="C395" s="93" t="s">
        <v>504</v>
      </c>
      <c r="D395" s="92">
        <v>12</v>
      </c>
      <c r="E395" s="96"/>
      <c r="F395" s="74">
        <f>D395*E395</f>
        <v>0</v>
      </c>
    </row>
    <row r="396" spans="1:6" s="5" customFormat="1" x14ac:dyDescent="0.25">
      <c r="A396" s="40"/>
      <c r="B396" s="65"/>
      <c r="C396" s="93"/>
      <c r="D396" s="92"/>
      <c r="E396" s="96"/>
      <c r="F396" s="74"/>
    </row>
    <row r="397" spans="1:6" s="5" customFormat="1" ht="141.75" x14ac:dyDescent="0.25">
      <c r="A397" s="40">
        <f>COUNT($A$342:A396)+1</f>
        <v>7</v>
      </c>
      <c r="B397" s="65" t="s">
        <v>505</v>
      </c>
      <c r="C397" s="93" t="s">
        <v>111</v>
      </c>
      <c r="D397" s="92">
        <v>1</v>
      </c>
      <c r="E397" s="96"/>
      <c r="F397" s="74">
        <f>D397*E397</f>
        <v>0</v>
      </c>
    </row>
    <row r="398" spans="1:6" s="5" customFormat="1" x14ac:dyDescent="0.25">
      <c r="A398" s="40"/>
      <c r="B398" s="65"/>
      <c r="C398" s="93"/>
      <c r="D398" s="92"/>
      <c r="E398" s="96"/>
      <c r="F398" s="74"/>
    </row>
    <row r="399" spans="1:6" s="5" customFormat="1" ht="78.75" x14ac:dyDescent="0.25">
      <c r="A399" s="40">
        <f>COUNT($A$342:A398)+1</f>
        <v>8</v>
      </c>
      <c r="B399" s="65" t="s">
        <v>506</v>
      </c>
      <c r="C399" s="93" t="s">
        <v>111</v>
      </c>
      <c r="D399" s="92">
        <v>1</v>
      </c>
      <c r="E399" s="96"/>
      <c r="F399" s="74">
        <f>D399*E399</f>
        <v>0</v>
      </c>
    </row>
    <row r="400" spans="1:6" x14ac:dyDescent="0.25">
      <c r="B400" s="20"/>
      <c r="D400" s="81"/>
      <c r="E400" s="95"/>
      <c r="F400" s="72"/>
    </row>
    <row r="401" spans="1:6" x14ac:dyDescent="0.25">
      <c r="A401" s="39"/>
      <c r="B401" s="21" t="str">
        <f>"UKUPNO - "&amp;TEXT(A342,) &amp;" " &amp;TEXT(B342,)&amp;" (€):"</f>
        <v>UKUPNO - A.13. HLAĐENJE (€):</v>
      </c>
      <c r="C401" s="82"/>
      <c r="D401" s="83"/>
      <c r="E401" s="98"/>
      <c r="F401" s="72">
        <f>SUM(F342:F400)</f>
        <v>0</v>
      </c>
    </row>
    <row r="402" spans="1:6" s="5" customFormat="1" x14ac:dyDescent="0.25">
      <c r="A402" s="40"/>
      <c r="B402" s="18"/>
      <c r="C402" s="84"/>
      <c r="D402" s="85"/>
      <c r="E402" s="125"/>
      <c r="F402" s="71"/>
    </row>
    <row r="403" spans="1:6" s="5" customFormat="1" x14ac:dyDescent="0.25">
      <c r="A403" s="40"/>
      <c r="B403" s="18"/>
      <c r="C403" s="84"/>
      <c r="D403" s="85"/>
      <c r="E403" s="125"/>
      <c r="F403" s="71"/>
    </row>
    <row r="404" spans="1:6" s="5" customFormat="1" x14ac:dyDescent="0.25">
      <c r="A404" s="40"/>
      <c r="B404" s="18"/>
      <c r="C404" s="93"/>
      <c r="D404" s="85"/>
      <c r="E404" s="125"/>
      <c r="F404" s="71"/>
    </row>
    <row r="405" spans="1:6" x14ac:dyDescent="0.25">
      <c r="A405" s="105"/>
      <c r="B405" s="26" t="str">
        <f>"REKAPITULACIJA - "&amp;TEXT(A7,) &amp;" " &amp;TEXT(B7,)</f>
        <v>REKAPITULACIJA - A. GRAĐEVINSKO - OBRTNIČKI RADOVI</v>
      </c>
      <c r="C405" s="99"/>
      <c r="D405" s="100"/>
      <c r="E405" s="127"/>
      <c r="F405" s="76"/>
    </row>
    <row r="406" spans="1:6" x14ac:dyDescent="0.25">
      <c r="B406" s="25"/>
      <c r="C406" s="101"/>
      <c r="D406" s="102"/>
      <c r="E406" s="128"/>
      <c r="F406" s="77"/>
    </row>
    <row r="407" spans="1:6" x14ac:dyDescent="0.25">
      <c r="A407" s="38" t="str">
        <f>A9</f>
        <v>A.1.</v>
      </c>
      <c r="B407" s="20" t="str">
        <f>B9</f>
        <v>PRIPREMNI I ZAVRŠNI RADOVI</v>
      </c>
      <c r="C407" s="80"/>
      <c r="D407" s="81"/>
      <c r="E407" s="95"/>
      <c r="F407" s="72">
        <f>F21</f>
        <v>0</v>
      </c>
    </row>
    <row r="408" spans="1:6" x14ac:dyDescent="0.25">
      <c r="B408" s="20"/>
      <c r="C408" s="101"/>
      <c r="D408" s="102"/>
      <c r="E408" s="128"/>
      <c r="F408" s="77"/>
    </row>
    <row r="409" spans="1:6" x14ac:dyDescent="0.25">
      <c r="A409" s="38" t="str">
        <f>A24</f>
        <v>A.2.</v>
      </c>
      <c r="B409" s="20" t="str">
        <f>B24</f>
        <v>RADOVI DEMONTAŽE, RAZGRADNJE I UKLANJANJA</v>
      </c>
      <c r="C409" s="80"/>
      <c r="D409" s="81"/>
      <c r="E409" s="95"/>
      <c r="F409" s="72">
        <f>F114</f>
        <v>0</v>
      </c>
    </row>
    <row r="410" spans="1:6" x14ac:dyDescent="0.25">
      <c r="B410" s="20"/>
      <c r="E410" s="95"/>
      <c r="F410" s="72"/>
    </row>
    <row r="411" spans="1:6" s="3" customFormat="1" x14ac:dyDescent="0.2">
      <c r="A411" s="38" t="str">
        <f>A117</f>
        <v>A.3.</v>
      </c>
      <c r="B411" s="20" t="str">
        <f>B117</f>
        <v>BETONSKI I ARMIRANOBETONSKI RADOVI</v>
      </c>
      <c r="C411" s="80"/>
      <c r="D411" s="81"/>
      <c r="E411" s="95"/>
      <c r="F411" s="72">
        <f>F126</f>
        <v>0</v>
      </c>
    </row>
    <row r="412" spans="1:6" s="3" customFormat="1" x14ac:dyDescent="0.2">
      <c r="A412" s="38"/>
      <c r="B412" s="20"/>
      <c r="C412" s="86"/>
      <c r="D412" s="87"/>
      <c r="E412" s="94"/>
      <c r="F412" s="73"/>
    </row>
    <row r="413" spans="1:6" s="3" customFormat="1" x14ac:dyDescent="0.2">
      <c r="A413" s="38" t="str">
        <f>A129</f>
        <v>A.4.</v>
      </c>
      <c r="B413" s="20" t="str">
        <f>B129</f>
        <v xml:space="preserve"> ZIDARSKI RADOVI</v>
      </c>
      <c r="C413" s="80"/>
      <c r="D413" s="81"/>
      <c r="E413" s="95"/>
      <c r="F413" s="72">
        <f>F143</f>
        <v>0</v>
      </c>
    </row>
    <row r="414" spans="1:6" s="3" customFormat="1" x14ac:dyDescent="0.2">
      <c r="A414" s="38"/>
      <c r="B414" s="20"/>
      <c r="C414" s="86"/>
      <c r="D414" s="87"/>
      <c r="E414" s="94"/>
      <c r="F414" s="73"/>
    </row>
    <row r="415" spans="1:6" s="3" customFormat="1" x14ac:dyDescent="0.2">
      <c r="A415" s="38" t="str">
        <f>A146</f>
        <v>A.5.</v>
      </c>
      <c r="B415" s="20" t="str">
        <f>B146</f>
        <v>IZOLATERSKI RADOVI</v>
      </c>
      <c r="C415" s="80"/>
      <c r="D415" s="81"/>
      <c r="E415" s="95"/>
      <c r="F415" s="72">
        <f>F158</f>
        <v>0</v>
      </c>
    </row>
    <row r="416" spans="1:6" s="3" customFormat="1" x14ac:dyDescent="0.2">
      <c r="A416" s="38"/>
      <c r="B416" s="20"/>
      <c r="C416" s="86"/>
      <c r="D416" s="87"/>
      <c r="E416" s="94"/>
      <c r="F416" s="73"/>
    </row>
    <row r="417" spans="1:6" x14ac:dyDescent="0.25">
      <c r="A417" s="38" t="str">
        <f>A161</f>
        <v>A.6.</v>
      </c>
      <c r="B417" s="20" t="str">
        <f>B161</f>
        <v>STOLARIJA I BRAVARIJA</v>
      </c>
      <c r="C417" s="80"/>
      <c r="D417" s="81"/>
      <c r="E417" s="95"/>
      <c r="F417" s="72">
        <f>F176</f>
        <v>0</v>
      </c>
    </row>
    <row r="418" spans="1:6" x14ac:dyDescent="0.25">
      <c r="B418" s="20"/>
      <c r="C418" s="80"/>
      <c r="D418" s="81"/>
      <c r="E418" s="95"/>
      <c r="F418" s="72"/>
    </row>
    <row r="419" spans="1:6" x14ac:dyDescent="0.25">
      <c r="A419" s="38" t="str">
        <f>A179</f>
        <v>A.7.</v>
      </c>
      <c r="B419" s="20" t="str">
        <f>B179</f>
        <v>SOBOSLIKARSKI I LIČILAČKI RADOVI</v>
      </c>
      <c r="C419" s="80"/>
      <c r="D419" s="81"/>
      <c r="E419" s="95"/>
      <c r="F419" s="72">
        <f>F204</f>
        <v>0</v>
      </c>
    </row>
    <row r="420" spans="1:6" x14ac:dyDescent="0.25">
      <c r="B420" s="20"/>
      <c r="C420" s="80"/>
      <c r="D420" s="81"/>
      <c r="E420" s="95"/>
      <c r="F420" s="72"/>
    </row>
    <row r="421" spans="1:6" x14ac:dyDescent="0.25">
      <c r="A421" s="38" t="str">
        <f>A207</f>
        <v>A.8.</v>
      </c>
      <c r="B421" s="20" t="str">
        <f>B207</f>
        <v>GIPS-KARTONSKI RADOVI</v>
      </c>
      <c r="C421" s="80"/>
      <c r="D421" s="81"/>
      <c r="E421" s="95"/>
      <c r="F421" s="72">
        <f>F231</f>
        <v>0</v>
      </c>
    </row>
    <row r="422" spans="1:6" x14ac:dyDescent="0.25">
      <c r="B422" s="20"/>
      <c r="C422" s="80"/>
      <c r="D422" s="81"/>
      <c r="E422" s="95"/>
      <c r="F422" s="72"/>
    </row>
    <row r="423" spans="1:6" x14ac:dyDescent="0.25">
      <c r="A423" s="38" t="str">
        <f>A234</f>
        <v>A.9.</v>
      </c>
      <c r="B423" s="20" t="str">
        <f>B234</f>
        <v>KERAMIČARSKI RADOVI</v>
      </c>
      <c r="C423" s="80"/>
      <c r="D423" s="81"/>
      <c r="E423" s="95"/>
      <c r="F423" s="72">
        <f>F244</f>
        <v>0</v>
      </c>
    </row>
    <row r="424" spans="1:6" x14ac:dyDescent="0.25">
      <c r="B424" s="20"/>
      <c r="C424" s="80"/>
      <c r="D424" s="81"/>
      <c r="E424" s="95"/>
      <c r="F424" s="72"/>
    </row>
    <row r="425" spans="1:6" x14ac:dyDescent="0.25">
      <c r="A425" s="38" t="str">
        <f>A247</f>
        <v>A.10.</v>
      </c>
      <c r="B425" s="20" t="str">
        <f>B247</f>
        <v>PODOPOLAGAČKI RADOVI</v>
      </c>
      <c r="C425" s="80"/>
      <c r="D425" s="81"/>
      <c r="E425" s="95"/>
      <c r="F425" s="72">
        <f>F262</f>
        <v>0</v>
      </c>
    </row>
    <row r="426" spans="1:6" x14ac:dyDescent="0.25">
      <c r="B426" s="20"/>
      <c r="C426" s="80"/>
      <c r="D426" s="81"/>
      <c r="E426" s="95"/>
      <c r="F426" s="72"/>
    </row>
    <row r="427" spans="1:6" x14ac:dyDescent="0.25">
      <c r="A427" s="38" t="str">
        <f>A265</f>
        <v>A.11.</v>
      </c>
      <c r="B427" s="20" t="str">
        <f>B265</f>
        <v>RAZNI RADOVI</v>
      </c>
      <c r="C427" s="80"/>
      <c r="D427" s="81"/>
      <c r="E427" s="95"/>
      <c r="F427" s="72">
        <f>F292</f>
        <v>0</v>
      </c>
    </row>
    <row r="428" spans="1:6" x14ac:dyDescent="0.25">
      <c r="B428" s="20"/>
      <c r="C428" s="80"/>
      <c r="D428" s="81"/>
      <c r="E428" s="95"/>
      <c r="F428" s="72"/>
    </row>
    <row r="429" spans="1:6" x14ac:dyDescent="0.25">
      <c r="A429" s="38" t="str">
        <f>A295</f>
        <v>A.12.</v>
      </c>
      <c r="B429" s="20" t="str">
        <f>B295</f>
        <v>SANITARNA VENTILACIJA</v>
      </c>
      <c r="C429" s="80"/>
      <c r="D429" s="81"/>
      <c r="E429" s="95"/>
      <c r="F429" s="72">
        <f>F339</f>
        <v>0</v>
      </c>
    </row>
    <row r="430" spans="1:6" x14ac:dyDescent="0.25">
      <c r="B430" s="20"/>
      <c r="C430" s="80"/>
      <c r="D430" s="81"/>
      <c r="E430" s="95"/>
      <c r="F430" s="72"/>
    </row>
    <row r="431" spans="1:6" x14ac:dyDescent="0.25">
      <c r="A431" s="38" t="str">
        <f>A342</f>
        <v>A.13.</v>
      </c>
      <c r="B431" s="20" t="str">
        <f>B342</f>
        <v>HLAĐENJE</v>
      </c>
      <c r="C431" s="80"/>
      <c r="D431" s="81"/>
      <c r="E431" s="95"/>
      <c r="F431" s="72">
        <f>F401</f>
        <v>0</v>
      </c>
    </row>
    <row r="432" spans="1:6" x14ac:dyDescent="0.25">
      <c r="B432" s="20"/>
      <c r="C432" s="80"/>
      <c r="D432" s="81"/>
      <c r="E432" s="95"/>
      <c r="F432" s="72"/>
    </row>
    <row r="433" spans="1:6" s="3" customFormat="1" x14ac:dyDescent="0.2">
      <c r="A433" s="39"/>
      <c r="B433" s="21" t="str">
        <f>"UKUPNO - "&amp;TEXT(A7,) &amp;" " &amp;TEXT(B7,)&amp;" (€):"</f>
        <v>UKUPNO - A. GRAĐEVINSKO - OBRTNIČKI RADOVI (€):</v>
      </c>
      <c r="C433" s="82"/>
      <c r="D433" s="89"/>
      <c r="E433" s="98"/>
      <c r="F433" s="72">
        <f>SUM(F405:F432)</f>
        <v>0</v>
      </c>
    </row>
  </sheetData>
  <sheetProtection selectLockedCells="1"/>
  <phoneticPr fontId="3" type="noConversion"/>
  <dataValidations count="1">
    <dataValidation operator="lessThan" allowBlank="1" showInputMessage="1" showErrorMessage="1" sqref="A106 A103 C1:F11 B49:F53 A49 C105:F109 A203:A265 B102:B106 B226:B252 B259:B265 C257:F265 C75:F89 C91:F103 C203:F255 B203:B217 B79:B99 A79:A101 A63:B78 A107:B109 B110:F112 A111 B41:F47 A41:A44 C13:F37 A1:B37 A344:A399 C324:E336 A188:A199 C276:E322 A276:B336 A200:XFD202 A266:XFD275 F276:XFD336 A400:XFD1048576 A337:XFD343 A38:XFD40 G1:XFD37 A48:XFD48 C63:XFD74 A113:XFD187 G107:XFD109 G75:XFD101 G203:XFD265 G193:XFD199 B188:XFD192 A54:XFD62"/>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rowBreaks count="7" manualBreakCount="7">
    <brk id="40" max="5" man="1"/>
    <brk id="67" max="5" man="1"/>
    <brk id="128" max="5" man="1"/>
    <brk id="151" max="5" man="1"/>
    <brk id="184" max="5" man="1"/>
    <brk id="206" max="5" man="1"/>
    <brk id="233"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117"/>
  <sheetViews>
    <sheetView view="pageBreakPreview" zoomScaleNormal="85" zoomScaleSheetLayoutView="100" workbookViewId="0">
      <pane ySplit="8" topLeftCell="A57" activePane="bottomLeft" state="frozen"/>
      <selection activeCell="C24" sqref="C24"/>
      <selection pane="bottomLeft" activeCell="C24" sqref="C24"/>
    </sheetView>
  </sheetViews>
  <sheetFormatPr defaultColWidth="9.140625" defaultRowHeight="15.75" x14ac:dyDescent="0.25"/>
  <cols>
    <col min="1" max="1" width="5.7109375" style="38" customWidth="1"/>
    <col min="2" max="2" width="55.7109375" style="19" customWidth="1"/>
    <col min="3" max="3" width="8.7109375" style="86" customWidth="1"/>
    <col min="4" max="4" width="11.7109375" style="87" customWidth="1"/>
    <col min="5" max="5" width="11.7109375" style="94" customWidth="1"/>
    <col min="6" max="6" width="17.7109375" style="73" customWidth="1"/>
    <col min="7" max="16384" width="9.140625" style="1"/>
  </cols>
  <sheetData>
    <row r="1" spans="1:6" x14ac:dyDescent="0.25">
      <c r="A1" s="103" t="str">
        <f>'A_GRAĐ-OBRT'!A1</f>
        <v xml:space="preserve">GRAĐEVINA: UČENIČKI DOM, k.č.br. 7475, MB 339164 k.o. CENTAR NOVI
</v>
      </c>
      <c r="C1" s="106"/>
      <c r="D1" s="106"/>
      <c r="E1" s="120"/>
      <c r="F1" s="106"/>
    </row>
    <row r="2" spans="1:6" x14ac:dyDescent="0.25">
      <c r="A2" s="103" t="str">
        <f>'A_GRAĐ-OBRT'!A2</f>
        <v>PROJEKT: UREĐENJE PROSTORA BIVŠEG CAFFE BARA</v>
      </c>
      <c r="C2" s="106"/>
      <c r="D2" s="106"/>
      <c r="E2" s="120"/>
      <c r="F2" s="106"/>
    </row>
    <row r="3" spans="1:6" x14ac:dyDescent="0.25">
      <c r="A3" s="103" t="s">
        <v>176</v>
      </c>
      <c r="C3" s="106"/>
      <c r="D3" s="106"/>
      <c r="E3" s="120"/>
      <c r="F3" s="106"/>
    </row>
    <row r="4" spans="1:6" x14ac:dyDescent="0.25">
      <c r="C4" s="78"/>
      <c r="D4" s="79"/>
      <c r="E4" s="121"/>
      <c r="F4" s="66"/>
    </row>
    <row r="5" spans="1:6" s="2" customFormat="1" ht="31.5" x14ac:dyDescent="0.2">
      <c r="A5" s="63" t="s">
        <v>1</v>
      </c>
      <c r="B5" s="133" t="s">
        <v>5</v>
      </c>
      <c r="C5" s="41" t="s">
        <v>2</v>
      </c>
      <c r="D5" s="28" t="s">
        <v>3</v>
      </c>
      <c r="E5" s="62" t="s">
        <v>4</v>
      </c>
      <c r="F5" s="36" t="s">
        <v>9</v>
      </c>
    </row>
    <row r="6" spans="1:6" s="2" customFormat="1" x14ac:dyDescent="0.2">
      <c r="A6" s="38"/>
      <c r="B6" s="20"/>
      <c r="C6" s="80"/>
      <c r="D6" s="81"/>
      <c r="E6" s="122"/>
      <c r="F6" s="67"/>
    </row>
    <row r="7" spans="1:6" x14ac:dyDescent="0.25">
      <c r="A7" s="39" t="s">
        <v>72</v>
      </c>
      <c r="B7" s="21" t="s">
        <v>177</v>
      </c>
      <c r="C7" s="82"/>
      <c r="D7" s="83"/>
      <c r="E7" s="123"/>
      <c r="F7" s="68"/>
    </row>
    <row r="8" spans="1:6" s="5" customFormat="1" x14ac:dyDescent="0.25">
      <c r="A8" s="40"/>
      <c r="B8" s="18"/>
      <c r="C8" s="84"/>
      <c r="D8" s="85"/>
      <c r="E8" s="124"/>
      <c r="F8" s="69"/>
    </row>
    <row r="9" spans="1:6" x14ac:dyDescent="0.25">
      <c r="B9" s="20"/>
      <c r="C9" s="80"/>
      <c r="D9" s="81"/>
      <c r="E9" s="95"/>
      <c r="F9" s="72"/>
    </row>
    <row r="10" spans="1:6" x14ac:dyDescent="0.25">
      <c r="A10" s="39" t="str">
        <f>TEXT($A$7,)&amp;"1."</f>
        <v>B.1.</v>
      </c>
      <c r="B10" s="21" t="s">
        <v>175</v>
      </c>
      <c r="C10" s="88"/>
      <c r="D10" s="89"/>
      <c r="E10" s="98"/>
      <c r="F10" s="70"/>
    </row>
    <row r="11" spans="1:6" s="5" customFormat="1" x14ac:dyDescent="0.25">
      <c r="A11" s="40"/>
      <c r="B11" s="18"/>
      <c r="C11" s="93"/>
      <c r="D11" s="92"/>
      <c r="E11" s="125"/>
      <c r="F11" s="71"/>
    </row>
    <row r="12" spans="1:6" s="5" customFormat="1" ht="141.75" x14ac:dyDescent="0.25">
      <c r="A12" s="40"/>
      <c r="B12" s="18" t="s">
        <v>246</v>
      </c>
      <c r="C12" s="93"/>
      <c r="D12" s="92"/>
      <c r="E12" s="96"/>
      <c r="F12" s="74"/>
    </row>
    <row r="13" spans="1:6" s="5" customFormat="1" x14ac:dyDescent="0.25">
      <c r="A13" s="40"/>
      <c r="B13" s="65"/>
      <c r="C13" s="93"/>
      <c r="D13" s="92"/>
      <c r="E13" s="96"/>
      <c r="F13" s="74"/>
    </row>
    <row r="14" spans="1:6" s="5" customFormat="1" x14ac:dyDescent="0.25">
      <c r="A14" s="40">
        <f>COUNT(A$10:A13)+1</f>
        <v>1</v>
      </c>
      <c r="B14" s="18" t="s">
        <v>247</v>
      </c>
      <c r="C14" s="93"/>
      <c r="D14" s="92"/>
      <c r="E14" s="96"/>
      <c r="F14" s="74"/>
    </row>
    <row r="15" spans="1:6" s="5" customFormat="1" x14ac:dyDescent="0.25">
      <c r="A15" s="40"/>
      <c r="B15" s="65" t="s">
        <v>352</v>
      </c>
      <c r="C15" s="93"/>
      <c r="D15" s="92"/>
      <c r="E15" s="96"/>
      <c r="F15" s="74"/>
    </row>
    <row r="16" spans="1:6" s="5" customFormat="1" ht="31.5" x14ac:dyDescent="0.25">
      <c r="A16" s="40" t="s">
        <v>116</v>
      </c>
      <c r="B16" s="24" t="s">
        <v>354</v>
      </c>
      <c r="C16" s="93" t="s">
        <v>107</v>
      </c>
      <c r="D16" s="92">
        <v>2</v>
      </c>
      <c r="E16" s="96"/>
      <c r="F16" s="74">
        <f t="shared" ref="F16:F18" si="0">D16*E16</f>
        <v>0</v>
      </c>
    </row>
    <row r="17" spans="1:6" s="5" customFormat="1" x14ac:dyDescent="0.25">
      <c r="A17" s="40" t="str">
        <f>CHAR(CODE(A16)+1)&amp;")"</f>
        <v>b)</v>
      </c>
      <c r="B17" s="24" t="s">
        <v>353</v>
      </c>
      <c r="C17" s="93" t="s">
        <v>107</v>
      </c>
      <c r="D17" s="92">
        <v>1</v>
      </c>
      <c r="E17" s="96"/>
      <c r="F17" s="74">
        <f t="shared" si="0"/>
        <v>0</v>
      </c>
    </row>
    <row r="18" spans="1:6" s="5" customFormat="1" ht="31.5" x14ac:dyDescent="0.25">
      <c r="A18" s="40" t="str">
        <f t="shared" ref="A18" si="1">CHAR(CODE(A17)+1)&amp;")"</f>
        <v>c)</v>
      </c>
      <c r="B18" s="24" t="s">
        <v>355</v>
      </c>
      <c r="C18" s="93" t="s">
        <v>107</v>
      </c>
      <c r="D18" s="92">
        <v>1</v>
      </c>
      <c r="E18" s="96"/>
      <c r="F18" s="74">
        <f t="shared" si="0"/>
        <v>0</v>
      </c>
    </row>
    <row r="19" spans="1:6" s="5" customFormat="1" x14ac:dyDescent="0.25">
      <c r="A19" s="40"/>
      <c r="B19" s="65"/>
      <c r="C19" s="93"/>
      <c r="D19" s="92"/>
      <c r="E19" s="96"/>
      <c r="F19" s="74"/>
    </row>
    <row r="20" spans="1:6" s="5" customFormat="1" x14ac:dyDescent="0.25">
      <c r="A20" s="40">
        <f>COUNT(A$10:A19)+1</f>
        <v>2</v>
      </c>
      <c r="B20" s="18" t="s">
        <v>248</v>
      </c>
      <c r="C20" s="93"/>
      <c r="D20" s="92"/>
      <c r="E20" s="96"/>
      <c r="F20" s="74"/>
    </row>
    <row r="21" spans="1:6" s="5" customFormat="1" ht="47.25" x14ac:dyDescent="0.25">
      <c r="A21" s="40"/>
      <c r="B21" s="65" t="s">
        <v>250</v>
      </c>
      <c r="C21" s="93" t="s">
        <v>106</v>
      </c>
      <c r="D21" s="92">
        <v>20</v>
      </c>
      <c r="E21" s="96"/>
      <c r="F21" s="74">
        <f t="shared" ref="F21" si="2">D21*E21</f>
        <v>0</v>
      </c>
    </row>
    <row r="22" spans="1:6" s="5" customFormat="1" x14ac:dyDescent="0.25">
      <c r="A22" s="40"/>
      <c r="B22" s="65"/>
      <c r="C22" s="93"/>
      <c r="D22" s="92"/>
      <c r="E22" s="96"/>
      <c r="F22" s="74"/>
    </row>
    <row r="23" spans="1:6" s="5" customFormat="1" x14ac:dyDescent="0.25">
      <c r="A23" s="40">
        <f>COUNT(A$10:A22)+1</f>
        <v>3</v>
      </c>
      <c r="B23" s="18" t="s">
        <v>249</v>
      </c>
      <c r="C23" s="93"/>
      <c r="D23" s="92"/>
      <c r="E23" s="96"/>
      <c r="F23" s="74"/>
    </row>
    <row r="24" spans="1:6" s="5" customFormat="1" ht="31.5" x14ac:dyDescent="0.25">
      <c r="A24" s="40"/>
      <c r="B24" s="65" t="s">
        <v>251</v>
      </c>
      <c r="C24" s="93" t="s">
        <v>106</v>
      </c>
      <c r="D24" s="92">
        <v>10</v>
      </c>
      <c r="E24" s="96"/>
      <c r="F24" s="74">
        <f t="shared" ref="F24" si="3">D24*E24</f>
        <v>0</v>
      </c>
    </row>
    <row r="25" spans="1:6" x14ac:dyDescent="0.25">
      <c r="B25" s="22"/>
    </row>
    <row r="26" spans="1:6" x14ac:dyDescent="0.25">
      <c r="A26" s="39"/>
      <c r="B26" s="21" t="str">
        <f>"UKUPNO - "&amp;TEXT(A10,) &amp;" " &amp;TEXT(B10,)&amp;" (€):"</f>
        <v>UKUPNO - B.1. RADOVI DEMONTAŽE i RUŠENJA (€):</v>
      </c>
      <c r="C26" s="82"/>
      <c r="D26" s="83"/>
      <c r="E26" s="98"/>
      <c r="F26" s="72">
        <f>SUM(F10:F25)</f>
        <v>0</v>
      </c>
    </row>
    <row r="27" spans="1:6" x14ac:dyDescent="0.25">
      <c r="B27" s="20"/>
      <c r="C27" s="80"/>
      <c r="D27" s="81"/>
      <c r="E27" s="95"/>
      <c r="F27" s="72"/>
    </row>
    <row r="28" spans="1:6" x14ac:dyDescent="0.25">
      <c r="B28" s="20"/>
      <c r="C28" s="80"/>
      <c r="D28" s="81"/>
      <c r="E28" s="95"/>
      <c r="F28" s="72"/>
    </row>
    <row r="29" spans="1:6" x14ac:dyDescent="0.25">
      <c r="A29" s="39" t="str">
        <f>TEXT($A$7,)&amp;"2."</f>
        <v>B.2.</v>
      </c>
      <c r="B29" s="21" t="s">
        <v>178</v>
      </c>
      <c r="C29" s="82"/>
      <c r="D29" s="83"/>
      <c r="E29" s="98"/>
      <c r="F29" s="70"/>
    </row>
    <row r="30" spans="1:6" s="5" customFormat="1" x14ac:dyDescent="0.25">
      <c r="A30" s="40"/>
      <c r="B30" s="18"/>
      <c r="C30" s="84"/>
      <c r="D30" s="85"/>
      <c r="E30" s="125"/>
      <c r="F30" s="71"/>
    </row>
    <row r="31" spans="1:6" s="5" customFormat="1" x14ac:dyDescent="0.25">
      <c r="A31" s="40">
        <f>COUNT(A$29:A30)+1</f>
        <v>1</v>
      </c>
      <c r="B31" s="165" t="s">
        <v>252</v>
      </c>
      <c r="C31" s="93"/>
      <c r="D31" s="92"/>
      <c r="E31" s="96"/>
      <c r="F31" s="74"/>
    </row>
    <row r="32" spans="1:6" s="5" customFormat="1" ht="63" x14ac:dyDescent="0.25">
      <c r="A32" s="40"/>
      <c r="B32" s="65" t="s">
        <v>358</v>
      </c>
      <c r="C32" s="93"/>
      <c r="D32" s="92"/>
      <c r="E32" s="96"/>
      <c r="F32" s="74"/>
    </row>
    <row r="33" spans="1:6" s="5" customFormat="1" x14ac:dyDescent="0.25">
      <c r="A33" s="40" t="s">
        <v>116</v>
      </c>
      <c r="B33" s="24" t="s">
        <v>253</v>
      </c>
      <c r="C33" s="93" t="s">
        <v>106</v>
      </c>
      <c r="D33" s="92">
        <f>ROUNDUP(0.3+1+1+1+0.3+3+0.3,0)</f>
        <v>7</v>
      </c>
      <c r="E33" s="96"/>
      <c r="F33" s="74">
        <f>D33*E33</f>
        <v>0</v>
      </c>
    </row>
    <row r="34" spans="1:6" s="5" customFormat="1" x14ac:dyDescent="0.25">
      <c r="A34" s="40" t="str">
        <f>CHAR(CODE(A33)+1)&amp;")"</f>
        <v>b)</v>
      </c>
      <c r="B34" s="24" t="s">
        <v>254</v>
      </c>
      <c r="C34" s="93" t="s">
        <v>106</v>
      </c>
      <c r="D34" s="92">
        <f>ROUNDUP(1.02+0.98+0.63+1+0.15+0.76+2.03+0.65+1,0)</f>
        <v>9</v>
      </c>
      <c r="E34" s="96"/>
      <c r="F34" s="74">
        <f>D34*E34</f>
        <v>0</v>
      </c>
    </row>
    <row r="35" spans="1:6" s="5" customFormat="1" x14ac:dyDescent="0.25">
      <c r="A35" s="40"/>
      <c r="B35" s="24"/>
      <c r="C35" s="93"/>
      <c r="D35" s="92"/>
      <c r="E35" s="96"/>
      <c r="F35" s="74"/>
    </row>
    <row r="36" spans="1:6" s="5" customFormat="1" x14ac:dyDescent="0.25">
      <c r="A36" s="40">
        <f>COUNT(A$29:A35)+1</f>
        <v>2</v>
      </c>
      <c r="B36" s="165" t="s">
        <v>255</v>
      </c>
      <c r="C36" s="93"/>
      <c r="D36" s="92"/>
      <c r="E36" s="96"/>
      <c r="F36" s="74"/>
    </row>
    <row r="37" spans="1:6" s="5" customFormat="1" ht="63" x14ac:dyDescent="0.25">
      <c r="A37" s="40"/>
      <c r="B37" s="24" t="s">
        <v>256</v>
      </c>
      <c r="C37" s="93" t="s">
        <v>106</v>
      </c>
      <c r="D37" s="92">
        <f>D33+D34</f>
        <v>16</v>
      </c>
      <c r="E37" s="96"/>
      <c r="F37" s="74">
        <f>D37*E37</f>
        <v>0</v>
      </c>
    </row>
    <row r="38" spans="1:6" s="5" customFormat="1" x14ac:dyDescent="0.25">
      <c r="A38" s="40"/>
      <c r="B38" s="65"/>
      <c r="C38" s="93"/>
      <c r="D38" s="92"/>
      <c r="E38" s="96"/>
      <c r="F38" s="74"/>
    </row>
    <row r="39" spans="1:6" s="5" customFormat="1" x14ac:dyDescent="0.25">
      <c r="A39" s="40">
        <f>COUNT($A$31:A38)+1</f>
        <v>3</v>
      </c>
      <c r="B39" s="18" t="s">
        <v>359</v>
      </c>
      <c r="C39" s="93"/>
      <c r="D39" s="92"/>
      <c r="E39" s="96"/>
      <c r="F39" s="74"/>
    </row>
    <row r="40" spans="1:6" s="5" customFormat="1" x14ac:dyDescent="0.25">
      <c r="A40" s="40"/>
      <c r="B40" s="65" t="s">
        <v>360</v>
      </c>
      <c r="C40" s="93" t="s">
        <v>107</v>
      </c>
      <c r="D40" s="92">
        <v>1</v>
      </c>
      <c r="E40" s="96"/>
      <c r="F40" s="74">
        <f t="shared" ref="F40" si="4">D40*E40</f>
        <v>0</v>
      </c>
    </row>
    <row r="41" spans="1:6" s="115" customFormat="1" x14ac:dyDescent="0.25">
      <c r="A41" s="111"/>
      <c r="B41" s="112"/>
      <c r="C41" s="206"/>
      <c r="D41" s="110"/>
      <c r="E41" s="107"/>
      <c r="F41" s="110"/>
    </row>
    <row r="42" spans="1:6" x14ac:dyDescent="0.25">
      <c r="A42" s="39"/>
      <c r="B42" s="21" t="str">
        <f>"UKUPNO - "&amp;TEXT(A29,) &amp;" " &amp;TEXT(B29,)&amp;" (€):"</f>
        <v>UKUPNO - B.2. RADOVI ODVODNJE (€):</v>
      </c>
      <c r="C42" s="82"/>
      <c r="D42" s="83"/>
      <c r="E42" s="98"/>
      <c r="F42" s="72">
        <f>SUM(F29:F41)</f>
        <v>0</v>
      </c>
    </row>
    <row r="43" spans="1:6" s="5" customFormat="1" x14ac:dyDescent="0.25">
      <c r="A43" s="40"/>
      <c r="B43" s="18"/>
      <c r="C43" s="84"/>
      <c r="D43" s="85"/>
      <c r="E43" s="125"/>
      <c r="F43" s="71"/>
    </row>
    <row r="44" spans="1:6" x14ac:dyDescent="0.25">
      <c r="B44" s="20"/>
      <c r="C44" s="80"/>
      <c r="D44" s="81"/>
      <c r="E44" s="95"/>
      <c r="F44" s="72"/>
    </row>
    <row r="45" spans="1:6" x14ac:dyDescent="0.25">
      <c r="A45" s="39" t="str">
        <f>TEXT($A$7,)&amp;"3."</f>
        <v>B.3.</v>
      </c>
      <c r="B45" s="21" t="s">
        <v>179</v>
      </c>
      <c r="C45" s="82"/>
      <c r="D45" s="83"/>
      <c r="E45" s="98"/>
      <c r="F45" s="70"/>
    </row>
    <row r="46" spans="1:6" x14ac:dyDescent="0.25">
      <c r="B46" s="20"/>
      <c r="C46" s="80"/>
      <c r="D46" s="81"/>
      <c r="E46" s="95"/>
      <c r="F46" s="72"/>
    </row>
    <row r="47" spans="1:6" s="5" customFormat="1" x14ac:dyDescent="0.25">
      <c r="A47" s="40">
        <f>COUNT(A$45:A46)+1</f>
        <v>1</v>
      </c>
      <c r="B47" s="18" t="s">
        <v>257</v>
      </c>
      <c r="C47" s="93"/>
      <c r="D47" s="92"/>
      <c r="E47" s="96"/>
      <c r="F47" s="74"/>
    </row>
    <row r="48" spans="1:6" s="5" customFormat="1" ht="173.25" x14ac:dyDescent="0.25">
      <c r="A48" s="40"/>
      <c r="B48" s="65" t="s">
        <v>361</v>
      </c>
      <c r="C48" s="93"/>
      <c r="D48" s="92"/>
      <c r="E48" s="96"/>
      <c r="F48" s="74"/>
    </row>
    <row r="49" spans="1:6" s="5" customFormat="1" x14ac:dyDescent="0.25">
      <c r="A49" s="40"/>
      <c r="B49" s="65" t="s">
        <v>263</v>
      </c>
      <c r="C49" s="93" t="s">
        <v>106</v>
      </c>
      <c r="D49" s="92">
        <f>ROUNDUP(5.35+1.1+1.8*2+0.6*3+3.87+5+4.33+1*2+4+3*0.8+0.6*3+1.8*2+1.1,0)</f>
        <v>40</v>
      </c>
      <c r="E49" s="96"/>
      <c r="F49" s="220">
        <f t="shared" ref="F49" si="5">D49*E49</f>
        <v>0</v>
      </c>
    </row>
    <row r="50" spans="1:6" s="5" customFormat="1" x14ac:dyDescent="0.25">
      <c r="A50" s="40"/>
      <c r="B50" s="65"/>
      <c r="C50" s="93"/>
      <c r="D50" s="92"/>
      <c r="E50" s="96"/>
      <c r="F50" s="74"/>
    </row>
    <row r="51" spans="1:6" s="5" customFormat="1" x14ac:dyDescent="0.25">
      <c r="A51" s="40">
        <f>COUNT(A$45:A50)+1</f>
        <v>2</v>
      </c>
      <c r="B51" s="18" t="s">
        <v>264</v>
      </c>
      <c r="C51" s="93"/>
      <c r="D51" s="92"/>
      <c r="E51" s="96"/>
      <c r="F51" s="74"/>
    </row>
    <row r="52" spans="1:6" s="5" customFormat="1" ht="31.5" x14ac:dyDescent="0.25">
      <c r="A52" s="40"/>
      <c r="B52" s="65" t="s">
        <v>265</v>
      </c>
      <c r="C52" s="93"/>
      <c r="D52" s="92"/>
      <c r="E52" s="96"/>
      <c r="F52" s="74"/>
    </row>
    <row r="53" spans="1:6" s="5" customFormat="1" x14ac:dyDescent="0.25">
      <c r="A53" s="40"/>
      <c r="B53" s="65" t="s">
        <v>263</v>
      </c>
      <c r="C53" s="93" t="s">
        <v>106</v>
      </c>
      <c r="D53" s="92">
        <f>D49</f>
        <v>40</v>
      </c>
      <c r="E53" s="96"/>
      <c r="F53" s="220">
        <f t="shared" ref="F53" si="6">D53*E53</f>
        <v>0</v>
      </c>
    </row>
    <row r="54" spans="1:6" s="5" customFormat="1" x14ac:dyDescent="0.25">
      <c r="A54" s="40"/>
      <c r="B54" s="65"/>
      <c r="C54" s="93"/>
      <c r="D54" s="92"/>
      <c r="E54" s="96"/>
      <c r="F54" s="74"/>
    </row>
    <row r="55" spans="1:6" s="5" customFormat="1" x14ac:dyDescent="0.25">
      <c r="A55" s="40">
        <f>COUNT(A$45:A54)+1</f>
        <v>3</v>
      </c>
      <c r="B55" s="18" t="s">
        <v>266</v>
      </c>
      <c r="C55" s="93"/>
      <c r="D55" s="92"/>
      <c r="E55" s="96"/>
      <c r="F55" s="74"/>
    </row>
    <row r="56" spans="1:6" s="5" customFormat="1" ht="31.5" x14ac:dyDescent="0.25">
      <c r="A56" s="40"/>
      <c r="B56" s="65" t="s">
        <v>267</v>
      </c>
      <c r="C56" s="93"/>
      <c r="D56" s="92"/>
      <c r="E56" s="96"/>
      <c r="F56" s="74"/>
    </row>
    <row r="57" spans="1:6" s="5" customFormat="1" x14ac:dyDescent="0.25">
      <c r="A57" s="40"/>
      <c r="B57" s="65" t="s">
        <v>262</v>
      </c>
      <c r="C57" s="93" t="s">
        <v>107</v>
      </c>
      <c r="D57" s="92">
        <v>2</v>
      </c>
      <c r="E57" s="96"/>
      <c r="F57" s="74">
        <f>D57*E57</f>
        <v>0</v>
      </c>
    </row>
    <row r="58" spans="1:6" s="5" customFormat="1" x14ac:dyDescent="0.25">
      <c r="A58" s="40"/>
      <c r="B58" s="65"/>
      <c r="C58" s="93"/>
      <c r="D58" s="92"/>
      <c r="E58" s="96"/>
      <c r="F58" s="74"/>
    </row>
    <row r="59" spans="1:6" s="5" customFormat="1" x14ac:dyDescent="0.25">
      <c r="A59" s="40">
        <f>COUNT(A$45:A58)+1</f>
        <v>4</v>
      </c>
      <c r="B59" s="18" t="s">
        <v>258</v>
      </c>
      <c r="C59" s="93"/>
      <c r="D59" s="92"/>
      <c r="E59" s="96"/>
      <c r="F59" s="74"/>
    </row>
    <row r="60" spans="1:6" s="5" customFormat="1" ht="47.25" x14ac:dyDescent="0.25">
      <c r="A60" s="40"/>
      <c r="B60" s="65" t="s">
        <v>362</v>
      </c>
      <c r="C60" s="93" t="s">
        <v>107</v>
      </c>
      <c r="D60" s="92">
        <f>3*2</f>
        <v>6</v>
      </c>
      <c r="E60" s="96"/>
      <c r="F60" s="220">
        <f>D60*E60</f>
        <v>0</v>
      </c>
    </row>
    <row r="61" spans="1:6" s="5" customFormat="1" x14ac:dyDescent="0.25">
      <c r="A61" s="40"/>
      <c r="B61" s="65"/>
      <c r="C61" s="93"/>
      <c r="D61" s="92"/>
      <c r="E61" s="96"/>
      <c r="F61" s="74"/>
    </row>
    <row r="62" spans="1:6" s="5" customFormat="1" x14ac:dyDescent="0.25">
      <c r="A62" s="40">
        <f>COUNT(A$45:A61)+1</f>
        <v>5</v>
      </c>
      <c r="B62" s="18" t="s">
        <v>259</v>
      </c>
      <c r="C62" s="93"/>
      <c r="D62" s="92"/>
      <c r="E62" s="96"/>
      <c r="F62" s="74"/>
    </row>
    <row r="63" spans="1:6" s="5" customFormat="1" ht="78.75" x14ac:dyDescent="0.25">
      <c r="A63" s="40"/>
      <c r="B63" s="65" t="s">
        <v>260</v>
      </c>
      <c r="C63" s="93" t="s">
        <v>106</v>
      </c>
      <c r="D63" s="92">
        <f>D49</f>
        <v>40</v>
      </c>
      <c r="E63" s="96"/>
      <c r="F63" s="220">
        <f>D63*E63</f>
        <v>0</v>
      </c>
    </row>
    <row r="64" spans="1:6" s="5" customFormat="1" x14ac:dyDescent="0.25">
      <c r="A64" s="40"/>
      <c r="B64" s="65"/>
      <c r="C64" s="93"/>
      <c r="D64" s="92"/>
      <c r="E64" s="96"/>
      <c r="F64" s="74"/>
    </row>
    <row r="65" spans="1:6" s="5" customFormat="1" x14ac:dyDescent="0.25">
      <c r="A65" s="40">
        <f>COUNT(A$45:A64)+1</f>
        <v>6</v>
      </c>
      <c r="B65" s="18" t="s">
        <v>261</v>
      </c>
      <c r="C65" s="93"/>
      <c r="D65" s="92"/>
      <c r="E65" s="96"/>
      <c r="F65" s="74"/>
    </row>
    <row r="66" spans="1:6" s="5" customFormat="1" ht="126" x14ac:dyDescent="0.25">
      <c r="A66" s="40"/>
      <c r="B66" s="65" t="s">
        <v>455</v>
      </c>
      <c r="C66" s="93" t="s">
        <v>111</v>
      </c>
      <c r="D66" s="92">
        <v>1</v>
      </c>
      <c r="E66" s="96"/>
      <c r="F66" s="220">
        <f>D66*E66</f>
        <v>0</v>
      </c>
    </row>
    <row r="67" spans="1:6" s="114" customFormat="1" x14ac:dyDescent="0.25">
      <c r="A67" s="117"/>
      <c r="B67" s="118"/>
      <c r="C67" s="113"/>
      <c r="D67" s="116"/>
      <c r="E67" s="108"/>
      <c r="F67" s="116"/>
    </row>
    <row r="68" spans="1:6" x14ac:dyDescent="0.25">
      <c r="A68" s="39"/>
      <c r="B68" s="21" t="str">
        <f>"UKUPNO - "&amp;TEXT(A45,) &amp;" " &amp;TEXT(B45,)&amp;" (€):"</f>
        <v>UKUPNO - B.3. VODOVODNA INSTALACIJA (€):</v>
      </c>
      <c r="C68" s="82"/>
      <c r="D68" s="83"/>
      <c r="E68" s="98"/>
      <c r="F68" s="72">
        <f>SUM(F45:F67)</f>
        <v>0</v>
      </c>
    </row>
    <row r="69" spans="1:6" s="5" customFormat="1" x14ac:dyDescent="0.25">
      <c r="A69" s="40"/>
      <c r="B69" s="18"/>
      <c r="C69" s="84"/>
      <c r="D69" s="85"/>
      <c r="E69" s="125"/>
      <c r="F69" s="71"/>
    </row>
    <row r="70" spans="1:6" x14ac:dyDescent="0.25">
      <c r="B70" s="20"/>
      <c r="C70" s="80"/>
      <c r="D70" s="81"/>
      <c r="E70" s="95"/>
      <c r="F70" s="72"/>
    </row>
    <row r="71" spans="1:6" x14ac:dyDescent="0.25">
      <c r="A71" s="39" t="str">
        <f>TEXT($A$7,)&amp;"5."</f>
        <v>B.5.</v>
      </c>
      <c r="B71" s="21" t="s">
        <v>180</v>
      </c>
      <c r="C71" s="82"/>
      <c r="D71" s="83"/>
      <c r="E71" s="98"/>
      <c r="F71" s="70"/>
    </row>
    <row r="72" spans="1:6" x14ac:dyDescent="0.25">
      <c r="B72" s="20"/>
      <c r="C72" s="80"/>
      <c r="D72" s="81"/>
      <c r="E72" s="95"/>
      <c r="F72" s="72"/>
    </row>
    <row r="73" spans="1:6" s="5" customFormat="1" x14ac:dyDescent="0.25">
      <c r="A73" s="40">
        <f>COUNT(A$71:A72)+1</f>
        <v>1</v>
      </c>
      <c r="B73" s="18" t="s">
        <v>392</v>
      </c>
      <c r="C73" s="93"/>
      <c r="D73" s="92"/>
      <c r="E73" s="96"/>
      <c r="F73" s="74"/>
    </row>
    <row r="74" spans="1:6" s="5" customFormat="1" ht="141.75" x14ac:dyDescent="0.25">
      <c r="A74" s="40"/>
      <c r="B74" s="65" t="s">
        <v>393</v>
      </c>
      <c r="C74" s="93" t="s">
        <v>111</v>
      </c>
      <c r="D74" s="92">
        <v>3</v>
      </c>
      <c r="E74" s="96"/>
      <c r="F74" s="74">
        <f>D74*E74</f>
        <v>0</v>
      </c>
    </row>
    <row r="75" spans="1:6" s="5" customFormat="1" x14ac:dyDescent="0.25">
      <c r="A75" s="40"/>
      <c r="B75" s="65"/>
      <c r="C75" s="93"/>
      <c r="D75" s="92"/>
      <c r="E75" s="96"/>
      <c r="F75" s="74"/>
    </row>
    <row r="76" spans="1:6" s="5" customFormat="1" x14ac:dyDescent="0.25">
      <c r="A76" s="40">
        <f>COUNT(A$71:A75)+1</f>
        <v>2</v>
      </c>
      <c r="B76" s="18" t="s">
        <v>268</v>
      </c>
      <c r="C76" s="93"/>
      <c r="D76" s="92"/>
      <c r="E76" s="96"/>
      <c r="F76" s="74"/>
    </row>
    <row r="77" spans="1:6" s="5" customFormat="1" ht="110.25" x14ac:dyDescent="0.25">
      <c r="A77" s="40"/>
      <c r="B77" s="65" t="s">
        <v>269</v>
      </c>
      <c r="C77" s="93"/>
      <c r="D77" s="92"/>
      <c r="E77" s="96"/>
      <c r="F77" s="74"/>
    </row>
    <row r="78" spans="1:6" s="5" customFormat="1" x14ac:dyDescent="0.25">
      <c r="A78" s="40" t="s">
        <v>116</v>
      </c>
      <c r="B78" s="222" t="s">
        <v>270</v>
      </c>
      <c r="C78" s="93" t="s">
        <v>107</v>
      </c>
      <c r="D78" s="92">
        <v>1</v>
      </c>
      <c r="E78" s="96"/>
      <c r="F78" s="74">
        <f>D78*E78</f>
        <v>0</v>
      </c>
    </row>
    <row r="79" spans="1:6" s="5" customFormat="1" x14ac:dyDescent="0.25">
      <c r="A79" s="40" t="str">
        <f>CHAR(CODE(A78)+1)&amp;")"</f>
        <v>b)</v>
      </c>
      <c r="B79" s="222" t="s">
        <v>369</v>
      </c>
      <c r="C79" s="93" t="s">
        <v>107</v>
      </c>
      <c r="D79" s="92">
        <v>2</v>
      </c>
      <c r="E79" s="96"/>
      <c r="F79" s="74">
        <f>D79*E79</f>
        <v>0</v>
      </c>
    </row>
    <row r="80" spans="1:6" s="5" customFormat="1" x14ac:dyDescent="0.25">
      <c r="A80" s="40"/>
      <c r="B80" s="65"/>
      <c r="C80" s="93"/>
      <c r="D80" s="92"/>
      <c r="E80" s="96"/>
      <c r="F80" s="74"/>
    </row>
    <row r="81" spans="1:6" s="5" customFormat="1" x14ac:dyDescent="0.25">
      <c r="A81" s="40">
        <f>COUNT(A$71:A80)+1</f>
        <v>3</v>
      </c>
      <c r="B81" s="18" t="s">
        <v>271</v>
      </c>
      <c r="C81" s="93"/>
      <c r="D81" s="92"/>
      <c r="E81" s="96"/>
      <c r="F81" s="74"/>
    </row>
    <row r="82" spans="1:6" s="5" customFormat="1" ht="78.75" x14ac:dyDescent="0.25">
      <c r="A82" s="40"/>
      <c r="B82" s="65" t="s">
        <v>272</v>
      </c>
      <c r="C82" s="93" t="s">
        <v>111</v>
      </c>
      <c r="D82" s="92">
        <v>1</v>
      </c>
      <c r="E82" s="96"/>
      <c r="F82" s="74">
        <f>D82*E82</f>
        <v>0</v>
      </c>
    </row>
    <row r="83" spans="1:6" s="5" customFormat="1" x14ac:dyDescent="0.25">
      <c r="A83" s="40"/>
      <c r="B83" s="65"/>
      <c r="C83" s="93"/>
      <c r="D83" s="92"/>
      <c r="E83" s="96"/>
      <c r="F83" s="74"/>
    </row>
    <row r="84" spans="1:6" s="5" customFormat="1" x14ac:dyDescent="0.25">
      <c r="A84" s="40">
        <f>COUNT(A$71:A83)+1</f>
        <v>4</v>
      </c>
      <c r="B84" s="18" t="s">
        <v>273</v>
      </c>
      <c r="C84" s="93"/>
      <c r="D84" s="92"/>
      <c r="E84" s="96"/>
      <c r="F84" s="74"/>
    </row>
    <row r="85" spans="1:6" s="5" customFormat="1" ht="31.5" x14ac:dyDescent="0.25">
      <c r="A85" s="40"/>
      <c r="B85" s="65" t="s">
        <v>274</v>
      </c>
      <c r="C85" s="93"/>
      <c r="D85" s="92"/>
      <c r="E85" s="96"/>
      <c r="F85" s="74"/>
    </row>
    <row r="86" spans="1:6" s="5" customFormat="1" x14ac:dyDescent="0.25">
      <c r="A86" s="40" t="s">
        <v>116</v>
      </c>
      <c r="B86" s="24" t="s">
        <v>275</v>
      </c>
      <c r="C86" s="93" t="s">
        <v>107</v>
      </c>
      <c r="D86" s="92">
        <f>D74</f>
        <v>3</v>
      </c>
      <c r="E86" s="96"/>
      <c r="F86" s="74">
        <f>D86*E86</f>
        <v>0</v>
      </c>
    </row>
    <row r="87" spans="1:6" s="5" customFormat="1" x14ac:dyDescent="0.25">
      <c r="A87" s="40" t="str">
        <f>CHAR(CODE(A86)+1)&amp;")"</f>
        <v>b)</v>
      </c>
      <c r="B87" s="24" t="s">
        <v>276</v>
      </c>
      <c r="C87" s="93" t="s">
        <v>107</v>
      </c>
      <c r="D87" s="92">
        <v>3</v>
      </c>
      <c r="E87" s="96"/>
      <c r="F87" s="74">
        <f>D87*E87</f>
        <v>0</v>
      </c>
    </row>
    <row r="88" spans="1:6" s="5" customFormat="1" x14ac:dyDescent="0.25">
      <c r="A88" s="40" t="str">
        <f>CHAR(CODE(A87)+1)&amp;")"</f>
        <v>c)</v>
      </c>
      <c r="B88" s="24" t="s">
        <v>277</v>
      </c>
      <c r="C88" s="93" t="s">
        <v>107</v>
      </c>
      <c r="D88" s="92">
        <v>3</v>
      </c>
      <c r="E88" s="96"/>
      <c r="F88" s="74">
        <f>D88*E88</f>
        <v>0</v>
      </c>
    </row>
    <row r="89" spans="1:6" s="5" customFormat="1" x14ac:dyDescent="0.25">
      <c r="A89" s="40"/>
      <c r="B89" s="223"/>
      <c r="C89" s="224"/>
      <c r="D89" s="225"/>
      <c r="E89" s="226"/>
      <c r="F89" s="227"/>
    </row>
    <row r="90" spans="1:6" s="5" customFormat="1" x14ac:dyDescent="0.25">
      <c r="A90" s="40">
        <f>COUNT(A$71:A89)+1</f>
        <v>5</v>
      </c>
      <c r="B90" s="165" t="s">
        <v>279</v>
      </c>
      <c r="C90" s="93"/>
      <c r="D90" s="92"/>
      <c r="E90" s="96"/>
      <c r="F90" s="74"/>
    </row>
    <row r="91" spans="1:6" s="5" customFormat="1" ht="31.5" x14ac:dyDescent="0.25">
      <c r="A91" s="40"/>
      <c r="B91" s="24" t="s">
        <v>363</v>
      </c>
      <c r="C91" s="93"/>
      <c r="D91" s="92"/>
      <c r="E91" s="96"/>
      <c r="F91" s="74"/>
    </row>
    <row r="92" spans="1:6" s="5" customFormat="1" x14ac:dyDescent="0.25">
      <c r="A92" s="40"/>
      <c r="B92" s="24" t="s">
        <v>280</v>
      </c>
      <c r="C92" s="93" t="s">
        <v>107</v>
      </c>
      <c r="D92" s="92">
        <v>2</v>
      </c>
      <c r="E92" s="96"/>
      <c r="F92" s="74">
        <f t="shared" ref="F92" si="7">D92*E92</f>
        <v>0</v>
      </c>
    </row>
    <row r="93" spans="1:6" s="5" customFormat="1" x14ac:dyDescent="0.25">
      <c r="A93" s="40"/>
      <c r="B93" s="65"/>
      <c r="C93" s="93"/>
      <c r="D93" s="92"/>
      <c r="E93" s="96"/>
      <c r="F93" s="74"/>
    </row>
    <row r="94" spans="1:6" s="5" customFormat="1" x14ac:dyDescent="0.25">
      <c r="A94" s="40">
        <f>COUNT(A$71:A93)+1</f>
        <v>6</v>
      </c>
      <c r="B94" s="18" t="s">
        <v>364</v>
      </c>
      <c r="C94" s="93"/>
      <c r="D94" s="92"/>
      <c r="E94" s="96"/>
      <c r="F94" s="74"/>
    </row>
    <row r="95" spans="1:6" s="5" customFormat="1" ht="63" x14ac:dyDescent="0.25">
      <c r="A95" s="40"/>
      <c r="B95" s="231" t="s">
        <v>385</v>
      </c>
      <c r="C95" s="93"/>
      <c r="D95" s="92"/>
      <c r="E95" s="96"/>
      <c r="F95" s="74"/>
    </row>
    <row r="96" spans="1:6" s="5" customFormat="1" x14ac:dyDescent="0.25">
      <c r="A96" s="40" t="s">
        <v>116</v>
      </c>
      <c r="B96" s="24" t="s">
        <v>365</v>
      </c>
      <c r="C96" s="93" t="s">
        <v>107</v>
      </c>
      <c r="D96" s="92">
        <v>1</v>
      </c>
      <c r="E96" s="96"/>
      <c r="F96" s="74">
        <f>D96*E96</f>
        <v>0</v>
      </c>
    </row>
    <row r="97" spans="1:6" s="5" customFormat="1" x14ac:dyDescent="0.25">
      <c r="A97" s="40" t="str">
        <f>CHAR(CODE(A96)+1)&amp;")"</f>
        <v>b)</v>
      </c>
      <c r="B97" s="24" t="s">
        <v>366</v>
      </c>
      <c r="C97" s="93" t="s">
        <v>107</v>
      </c>
      <c r="D97" s="92">
        <v>1</v>
      </c>
      <c r="E97" s="96"/>
      <c r="F97" s="74">
        <f>D97*E97</f>
        <v>0</v>
      </c>
    </row>
    <row r="98" spans="1:6" s="5" customFormat="1" x14ac:dyDescent="0.25">
      <c r="A98" s="40"/>
      <c r="B98" s="65"/>
      <c r="C98" s="93"/>
      <c r="D98" s="92"/>
      <c r="E98" s="96"/>
      <c r="F98" s="74"/>
    </row>
    <row r="99" spans="1:6" s="5" customFormat="1" x14ac:dyDescent="0.25">
      <c r="A99" s="40">
        <f>COUNT(A$71:A98)+1</f>
        <v>7</v>
      </c>
      <c r="B99" s="18" t="s">
        <v>278</v>
      </c>
      <c r="C99" s="93"/>
      <c r="D99" s="92"/>
      <c r="E99" s="96"/>
      <c r="F99" s="74"/>
    </row>
    <row r="100" spans="1:6" s="5" customFormat="1" ht="63" x14ac:dyDescent="0.25">
      <c r="A100" s="40"/>
      <c r="B100" s="223" t="s">
        <v>367</v>
      </c>
      <c r="C100" s="224"/>
      <c r="D100" s="225"/>
      <c r="E100" s="226"/>
      <c r="F100" s="227"/>
    </row>
    <row r="101" spans="1:6" s="5" customFormat="1" x14ac:dyDescent="0.25">
      <c r="A101" s="40"/>
      <c r="B101" s="223" t="s">
        <v>368</v>
      </c>
      <c r="C101" s="224" t="s">
        <v>107</v>
      </c>
      <c r="D101" s="225">
        <v>1</v>
      </c>
      <c r="E101" s="226"/>
      <c r="F101" s="227">
        <f>D101*E101</f>
        <v>0</v>
      </c>
    </row>
    <row r="102" spans="1:6" x14ac:dyDescent="0.25">
      <c r="A102" s="104"/>
      <c r="B102" s="64"/>
      <c r="C102" s="90"/>
      <c r="D102" s="91"/>
      <c r="E102" s="126"/>
      <c r="F102" s="75"/>
    </row>
    <row r="103" spans="1:6" x14ac:dyDescent="0.25">
      <c r="A103" s="39"/>
      <c r="B103" s="21" t="str">
        <f>"UKUPNO - "&amp;TEXT(A71,) &amp;" " &amp;TEXT(B71,)&amp;" (€):"</f>
        <v>UKUPNO - B.5. SANITARNA OPREMA (€):</v>
      </c>
      <c r="C103" s="82"/>
      <c r="D103" s="83"/>
      <c r="E103" s="97"/>
      <c r="F103" s="72">
        <f>SUM(F71:F102)</f>
        <v>0</v>
      </c>
    </row>
    <row r="104" spans="1:6" x14ac:dyDescent="0.25">
      <c r="B104" s="20"/>
      <c r="D104" s="81"/>
      <c r="E104" s="95"/>
      <c r="F104" s="72"/>
    </row>
    <row r="105" spans="1:6" x14ac:dyDescent="0.25">
      <c r="B105" s="20"/>
      <c r="D105" s="81"/>
      <c r="E105" s="95"/>
      <c r="F105" s="72"/>
    </row>
    <row r="106" spans="1:6" x14ac:dyDescent="0.25">
      <c r="B106" s="20"/>
      <c r="D106" s="81"/>
      <c r="E106" s="95"/>
      <c r="F106" s="72"/>
    </row>
    <row r="107" spans="1:6" x14ac:dyDescent="0.25">
      <c r="A107" s="105"/>
      <c r="B107" s="26" t="str">
        <f>"REKAPITULACIJA - "&amp;TEXT(A7,) &amp;" " &amp;TEXT(B7,)</f>
        <v>REKAPITULACIJA - B. VODOVOD I ODVODNJA</v>
      </c>
      <c r="C107" s="99"/>
      <c r="D107" s="100"/>
      <c r="E107" s="127"/>
      <c r="F107" s="76"/>
    </row>
    <row r="108" spans="1:6" x14ac:dyDescent="0.25">
      <c r="B108" s="20"/>
      <c r="C108" s="101"/>
      <c r="D108" s="102"/>
      <c r="E108" s="128"/>
      <c r="F108" s="77"/>
    </row>
    <row r="109" spans="1:6" x14ac:dyDescent="0.25">
      <c r="A109" s="38" t="str">
        <f>A10</f>
        <v>B.1.</v>
      </c>
      <c r="B109" s="20" t="str">
        <f>B10</f>
        <v>RADOVI DEMONTAŽE i RUŠENJA</v>
      </c>
      <c r="C109" s="80"/>
      <c r="D109" s="81"/>
      <c r="E109" s="95"/>
      <c r="F109" s="72">
        <f>F26</f>
        <v>0</v>
      </c>
    </row>
    <row r="110" spans="1:6" x14ac:dyDescent="0.25">
      <c r="B110" s="20"/>
      <c r="E110" s="95"/>
      <c r="F110" s="72"/>
    </row>
    <row r="111" spans="1:6" x14ac:dyDescent="0.25">
      <c r="A111" s="38" t="str">
        <f>A29</f>
        <v>B.2.</v>
      </c>
      <c r="B111" s="20" t="str">
        <f>B29</f>
        <v>RADOVI ODVODNJE</v>
      </c>
      <c r="C111" s="80"/>
      <c r="D111" s="81"/>
      <c r="E111" s="95"/>
      <c r="F111" s="72">
        <f>F42</f>
        <v>0</v>
      </c>
    </row>
    <row r="112" spans="1:6" x14ac:dyDescent="0.25">
      <c r="B112" s="20"/>
      <c r="E112" s="95"/>
      <c r="F112" s="72"/>
    </row>
    <row r="113" spans="1:6" x14ac:dyDescent="0.25">
      <c r="A113" s="38" t="str">
        <f>A45</f>
        <v>B.3.</v>
      </c>
      <c r="B113" s="20" t="str">
        <f>B45</f>
        <v>VODOVODNA INSTALACIJA</v>
      </c>
      <c r="C113" s="80"/>
      <c r="D113" s="81"/>
      <c r="E113" s="95"/>
      <c r="F113" s="72">
        <f>F68</f>
        <v>0</v>
      </c>
    </row>
    <row r="114" spans="1:6" x14ac:dyDescent="0.25">
      <c r="B114" s="20"/>
      <c r="E114" s="95"/>
      <c r="F114" s="72"/>
    </row>
    <row r="115" spans="1:6" s="3" customFormat="1" x14ac:dyDescent="0.2">
      <c r="A115" s="38" t="str">
        <f>A71</f>
        <v>B.5.</v>
      </c>
      <c r="B115" s="20" t="str">
        <f>B71</f>
        <v>SANITARNA OPREMA</v>
      </c>
      <c r="C115" s="80"/>
      <c r="D115" s="81"/>
      <c r="E115" s="95"/>
      <c r="F115" s="72">
        <f>F103</f>
        <v>0</v>
      </c>
    </row>
    <row r="116" spans="1:6" x14ac:dyDescent="0.25">
      <c r="A116" s="207"/>
      <c r="B116" s="208"/>
      <c r="C116" s="209"/>
      <c r="D116" s="210"/>
      <c r="E116" s="211"/>
      <c r="F116" s="212"/>
    </row>
    <row r="117" spans="1:6" s="3" customFormat="1" x14ac:dyDescent="0.2">
      <c r="A117" s="39"/>
      <c r="B117" s="21" t="str">
        <f>"UKUPNO - "&amp;TEXT(A7,) &amp;" " &amp;TEXT(B7,)&amp;" (€):"</f>
        <v>UKUPNO - B. VODOVOD I ODVODNJA (€):</v>
      </c>
      <c r="C117" s="82"/>
      <c r="D117" s="89"/>
      <c r="E117" s="98"/>
      <c r="F117" s="72">
        <f>SUM(F107:F116)</f>
        <v>0</v>
      </c>
    </row>
  </sheetData>
  <sheetProtection selectLockedCells="1"/>
  <dataValidations count="1">
    <dataValidation operator="lessThan" allowBlank="1" showInputMessage="1" showErrorMessage="1" sqref="E120:E1048576 B41:E46 B13:B31 B33:B34 A39 F40:F46 B47 F104:F1048576 B104:D1048576 E104:E118 B96:B97 B98:F103 A41:A1048576 B49:B94 A13:A37 C47:F97 A1:XFD12 B35:XFD37 G41:XFD1048576 C13:XFD34"/>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H29"/>
  <sheetViews>
    <sheetView view="pageBreakPreview" topLeftCell="A8" zoomScaleNormal="100" zoomScaleSheetLayoutView="100" workbookViewId="0">
      <selection activeCell="C24" sqref="C24"/>
    </sheetView>
  </sheetViews>
  <sheetFormatPr defaultColWidth="9.140625" defaultRowHeight="15.75" x14ac:dyDescent="0.25"/>
  <cols>
    <col min="1" max="1" width="110.7109375" style="130" customWidth="1"/>
    <col min="2" max="5" width="9.140625" style="6"/>
    <col min="7" max="7" width="9.140625" customWidth="1"/>
    <col min="9" max="16384" width="9.140625" style="6"/>
  </cols>
  <sheetData>
    <row r="2" spans="1:1" x14ac:dyDescent="0.25">
      <c r="A2" s="132" t="s">
        <v>454</v>
      </c>
    </row>
    <row r="3" spans="1:1" x14ac:dyDescent="0.25">
      <c r="A3" s="132"/>
    </row>
    <row r="4" spans="1:1" ht="31.5" x14ac:dyDescent="0.25">
      <c r="A4" s="134" t="s">
        <v>508</v>
      </c>
    </row>
    <row r="5" spans="1:1" x14ac:dyDescent="0.25">
      <c r="A5" s="134" t="s">
        <v>509</v>
      </c>
    </row>
    <row r="6" spans="1:1" ht="31.5" x14ac:dyDescent="0.25">
      <c r="A6" s="134" t="s">
        <v>510</v>
      </c>
    </row>
    <row r="7" spans="1:1" ht="31.5" x14ac:dyDescent="0.25">
      <c r="A7" s="134" t="s">
        <v>511</v>
      </c>
    </row>
    <row r="8" spans="1:1" x14ac:dyDescent="0.25">
      <c r="A8" s="138" t="s">
        <v>512</v>
      </c>
    </row>
    <row r="9" spans="1:1" x14ac:dyDescent="0.25">
      <c r="A9" s="138" t="s">
        <v>513</v>
      </c>
    </row>
    <row r="10" spans="1:1" x14ac:dyDescent="0.25">
      <c r="A10" s="138" t="s">
        <v>514</v>
      </c>
    </row>
    <row r="11" spans="1:1" x14ac:dyDescent="0.25">
      <c r="A11" s="138" t="s">
        <v>515</v>
      </c>
    </row>
    <row r="12" spans="1:1" ht="31.5" x14ac:dyDescent="0.25">
      <c r="A12" s="138" t="s">
        <v>516</v>
      </c>
    </row>
    <row r="13" spans="1:1" x14ac:dyDescent="0.25">
      <c r="A13" s="138" t="s">
        <v>517</v>
      </c>
    </row>
    <row r="14" spans="1:1" ht="31.5" x14ac:dyDescent="0.25">
      <c r="A14" s="134" t="s">
        <v>518</v>
      </c>
    </row>
    <row r="15" spans="1:1" x14ac:dyDescent="0.25">
      <c r="A15" s="134" t="s">
        <v>519</v>
      </c>
    </row>
    <row r="16" spans="1:1" ht="47.25" x14ac:dyDescent="0.25">
      <c r="A16" s="134" t="s">
        <v>520</v>
      </c>
    </row>
    <row r="17" spans="1:1" ht="31.5" x14ac:dyDescent="0.25">
      <c r="A17" s="134" t="s">
        <v>521</v>
      </c>
    </row>
    <row r="18" spans="1:1" x14ac:dyDescent="0.25">
      <c r="A18" s="162" t="s">
        <v>522</v>
      </c>
    </row>
    <row r="19" spans="1:1" x14ac:dyDescent="0.25">
      <c r="A19" s="162" t="s">
        <v>523</v>
      </c>
    </row>
    <row r="20" spans="1:1" x14ac:dyDescent="0.25">
      <c r="A20" s="42"/>
    </row>
    <row r="21" spans="1:1" ht="63" x14ac:dyDescent="0.25">
      <c r="A21" s="42" t="s">
        <v>524</v>
      </c>
    </row>
    <row r="22" spans="1:1" x14ac:dyDescent="0.25">
      <c r="A22" s="42" t="s">
        <v>525</v>
      </c>
    </row>
    <row r="23" spans="1:1" x14ac:dyDescent="0.25">
      <c r="A23" s="42" t="s">
        <v>526</v>
      </c>
    </row>
    <row r="24" spans="1:1" ht="31.5" x14ac:dyDescent="0.25">
      <c r="A24" s="42" t="s">
        <v>527</v>
      </c>
    </row>
    <row r="25" spans="1:1" ht="31.5" x14ac:dyDescent="0.25">
      <c r="A25" s="130" t="s">
        <v>528</v>
      </c>
    </row>
    <row r="26" spans="1:1" ht="31.5" x14ac:dyDescent="0.25">
      <c r="A26" s="130" t="s">
        <v>529</v>
      </c>
    </row>
    <row r="27" spans="1:1" ht="31.5" x14ac:dyDescent="0.25">
      <c r="A27" s="130" t="s">
        <v>530</v>
      </c>
    </row>
    <row r="29" spans="1:1" x14ac:dyDescent="0.25">
      <c r="A29" s="129" t="s">
        <v>531</v>
      </c>
    </row>
  </sheetData>
  <sheetProtection selectLockedCells="1"/>
  <dataValidations count="1">
    <dataValidation operator="lessThan" allowBlank="1" showInputMessage="1" showErrorMessage="1" sqref="A1:E1048576 I1:XFD1048576"/>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F182"/>
  <sheetViews>
    <sheetView view="pageBreakPreview" zoomScaleNormal="85" zoomScaleSheetLayoutView="100" workbookViewId="0">
      <pane ySplit="8" topLeftCell="A9" activePane="bottomLeft" state="frozen"/>
      <selection activeCell="C24" sqref="C24"/>
      <selection pane="bottomLeft" activeCell="C24" sqref="C24"/>
    </sheetView>
  </sheetViews>
  <sheetFormatPr defaultColWidth="9.140625" defaultRowHeight="15.75" x14ac:dyDescent="0.25"/>
  <cols>
    <col min="1" max="1" width="5.7109375" style="38" customWidth="1"/>
    <col min="2" max="2" width="55.7109375" style="19" customWidth="1"/>
    <col min="3" max="3" width="8.7109375" style="86" customWidth="1"/>
    <col min="4" max="4" width="11.7109375" style="87" customWidth="1"/>
    <col min="5" max="5" width="11.7109375" style="94" customWidth="1"/>
    <col min="6" max="6" width="17.7109375" style="73" customWidth="1"/>
    <col min="7" max="16384" width="9.140625" style="1"/>
  </cols>
  <sheetData>
    <row r="1" spans="1:6" x14ac:dyDescent="0.25">
      <c r="A1" s="103" t="str">
        <f>'A_GRAĐ-OBRT'!A1</f>
        <v xml:space="preserve">GRAĐEVINA: UČENIČKI DOM, k.č.br. 7475, MB 339164 k.o. CENTAR NOVI
</v>
      </c>
      <c r="C1" s="106"/>
      <c r="D1" s="106"/>
      <c r="E1" s="120"/>
      <c r="F1" s="106"/>
    </row>
    <row r="2" spans="1:6" x14ac:dyDescent="0.25">
      <c r="A2" s="103" t="str">
        <f>'A_GRAĐ-OBRT'!A2</f>
        <v>PROJEKT: UREĐENJE PROSTORA BIVŠEG CAFFE BARA</v>
      </c>
      <c r="C2" s="106"/>
      <c r="D2" s="106"/>
      <c r="E2" s="120"/>
      <c r="F2" s="106"/>
    </row>
    <row r="3" spans="1:6" x14ac:dyDescent="0.25">
      <c r="A3" s="103" t="s">
        <v>91</v>
      </c>
      <c r="C3" s="106"/>
      <c r="D3" s="106"/>
      <c r="E3" s="120"/>
      <c r="F3" s="106"/>
    </row>
    <row r="4" spans="1:6" x14ac:dyDescent="0.25">
      <c r="C4" s="78"/>
      <c r="D4" s="79"/>
      <c r="E4" s="121"/>
      <c r="F4" s="66"/>
    </row>
    <row r="5" spans="1:6" s="2" customFormat="1" ht="31.5" x14ac:dyDescent="0.2">
      <c r="A5" s="63" t="s">
        <v>1</v>
      </c>
      <c r="B5" s="133" t="s">
        <v>5</v>
      </c>
      <c r="C5" s="41" t="s">
        <v>2</v>
      </c>
      <c r="D5" s="28" t="s">
        <v>3</v>
      </c>
      <c r="E5" s="62" t="s">
        <v>4</v>
      </c>
      <c r="F5" s="36" t="s">
        <v>9</v>
      </c>
    </row>
    <row r="6" spans="1:6" s="2" customFormat="1" x14ac:dyDescent="0.2">
      <c r="A6" s="38"/>
      <c r="B6" s="20"/>
      <c r="C6" s="80"/>
      <c r="D6" s="81"/>
      <c r="E6" s="122"/>
      <c r="F6" s="67"/>
    </row>
    <row r="7" spans="1:6" x14ac:dyDescent="0.25">
      <c r="A7" s="39" t="s">
        <v>174</v>
      </c>
      <c r="B7" s="21" t="s">
        <v>90</v>
      </c>
      <c r="C7" s="82"/>
      <c r="D7" s="83"/>
      <c r="E7" s="123"/>
      <c r="F7" s="68"/>
    </row>
    <row r="8" spans="1:6" s="5" customFormat="1" x14ac:dyDescent="0.25">
      <c r="A8" s="40"/>
      <c r="B8" s="18"/>
      <c r="C8" s="84"/>
      <c r="D8" s="85"/>
      <c r="E8" s="124"/>
      <c r="F8" s="69"/>
    </row>
    <row r="9" spans="1:6" x14ac:dyDescent="0.25">
      <c r="A9" s="39" t="str">
        <f>TEXT($A$7,)&amp;"1."</f>
        <v>C.1.</v>
      </c>
      <c r="B9" s="21" t="s">
        <v>73</v>
      </c>
      <c r="C9" s="82"/>
      <c r="D9" s="83"/>
      <c r="E9" s="98"/>
      <c r="F9" s="70"/>
    </row>
    <row r="10" spans="1:6" s="5" customFormat="1" x14ac:dyDescent="0.25">
      <c r="A10" s="40"/>
      <c r="B10" s="18"/>
      <c r="C10" s="84"/>
      <c r="D10" s="85"/>
      <c r="E10" s="125"/>
      <c r="F10" s="71"/>
    </row>
    <row r="11" spans="1:6" s="5" customFormat="1" ht="63" x14ac:dyDescent="0.25">
      <c r="A11" s="40">
        <f>COUNT(A$9:A10)+1</f>
        <v>1</v>
      </c>
      <c r="B11" s="65" t="s">
        <v>532</v>
      </c>
      <c r="C11" s="93" t="s">
        <v>533</v>
      </c>
      <c r="D11" s="92">
        <v>4</v>
      </c>
      <c r="E11" s="96"/>
      <c r="F11" s="74">
        <f>D11*E11</f>
        <v>0</v>
      </c>
    </row>
    <row r="12" spans="1:6" s="5" customFormat="1" x14ac:dyDescent="0.25">
      <c r="A12" s="40"/>
      <c r="B12" s="65"/>
      <c r="C12" s="93"/>
      <c r="D12" s="92"/>
      <c r="E12" s="96"/>
      <c r="F12" s="74"/>
    </row>
    <row r="13" spans="1:6" s="5" customFormat="1" ht="63" x14ac:dyDescent="0.25">
      <c r="A13" s="40">
        <f>COUNT(A$9:A12)+1</f>
        <v>2</v>
      </c>
      <c r="B13" s="65" t="s">
        <v>534</v>
      </c>
      <c r="C13" s="93" t="s">
        <v>533</v>
      </c>
      <c r="D13" s="92">
        <v>6</v>
      </c>
      <c r="E13" s="96"/>
      <c r="F13" s="74">
        <f>D13*E13</f>
        <v>0</v>
      </c>
    </row>
    <row r="14" spans="1:6" s="5" customFormat="1" x14ac:dyDescent="0.25">
      <c r="A14" s="40"/>
      <c r="B14" s="65"/>
      <c r="C14" s="93"/>
      <c r="D14" s="92"/>
      <c r="E14" s="96"/>
      <c r="F14" s="74"/>
    </row>
    <row r="15" spans="1:6" s="5" customFormat="1" ht="63" x14ac:dyDescent="0.25">
      <c r="A15" s="40">
        <f>COUNT(A$9:A14)+1</f>
        <v>3</v>
      </c>
      <c r="B15" s="65" t="s">
        <v>535</v>
      </c>
      <c r="C15" s="93" t="s">
        <v>533</v>
      </c>
      <c r="D15" s="92">
        <v>6</v>
      </c>
      <c r="E15" s="96"/>
      <c r="F15" s="74">
        <f>D15*E15</f>
        <v>0</v>
      </c>
    </row>
    <row r="16" spans="1:6" s="5" customFormat="1" x14ac:dyDescent="0.25">
      <c r="A16" s="40"/>
      <c r="B16" s="65"/>
      <c r="C16" s="93"/>
      <c r="D16" s="92"/>
      <c r="E16" s="96"/>
      <c r="F16" s="74"/>
    </row>
    <row r="17" spans="1:6" s="5" customFormat="1" ht="63" x14ac:dyDescent="0.25">
      <c r="A17" s="40">
        <f>COUNT(A$9:A16)+1</f>
        <v>4</v>
      </c>
      <c r="B17" s="65" t="s">
        <v>536</v>
      </c>
      <c r="C17" s="93" t="s">
        <v>533</v>
      </c>
      <c r="D17" s="92">
        <v>2</v>
      </c>
      <c r="E17" s="96"/>
      <c r="F17" s="74">
        <f>D17*E17</f>
        <v>0</v>
      </c>
    </row>
    <row r="19" spans="1:6" x14ac:dyDescent="0.25">
      <c r="A19" s="39"/>
      <c r="B19" s="21" t="str">
        <f>"UKUPNO - "&amp;TEXT(A9,) &amp;" " &amp;TEXT(B9,)&amp;" (€):"</f>
        <v>UKUPNO - C.1. RADOVI DEMONTAŽE (€):</v>
      </c>
      <c r="C19" s="82"/>
      <c r="D19" s="83"/>
      <c r="E19" s="98"/>
      <c r="F19" s="72">
        <f>SUM(F10:F18)</f>
        <v>0</v>
      </c>
    </row>
    <row r="20" spans="1:6" s="5" customFormat="1" x14ac:dyDescent="0.25">
      <c r="A20" s="40"/>
      <c r="B20" s="18"/>
      <c r="C20" s="84"/>
      <c r="D20" s="85"/>
      <c r="E20" s="125"/>
      <c r="F20" s="71"/>
    </row>
    <row r="21" spans="1:6" x14ac:dyDescent="0.25">
      <c r="B21" s="20"/>
      <c r="E21" s="95"/>
    </row>
    <row r="22" spans="1:6" x14ac:dyDescent="0.25">
      <c r="A22" s="39" t="str">
        <f>TEXT($A$7,)&amp;"2."</f>
        <v>C.2.</v>
      </c>
      <c r="B22" s="21" t="s">
        <v>537</v>
      </c>
      <c r="C22" s="82"/>
      <c r="D22" s="83"/>
      <c r="E22" s="97"/>
      <c r="F22" s="70"/>
    </row>
    <row r="23" spans="1:6" x14ac:dyDescent="0.25">
      <c r="B23" s="20"/>
      <c r="F23" s="72"/>
    </row>
    <row r="24" spans="1:6" s="5" customFormat="1" ht="31.5" x14ac:dyDescent="0.25">
      <c r="A24" s="40">
        <f>COUNT(A$22:A23)+1</f>
        <v>1</v>
      </c>
      <c r="B24" s="65" t="s">
        <v>538</v>
      </c>
      <c r="C24" s="93"/>
      <c r="D24" s="92"/>
      <c r="E24" s="96"/>
      <c r="F24" s="74"/>
    </row>
    <row r="25" spans="1:6" s="5" customFormat="1" x14ac:dyDescent="0.25">
      <c r="A25" s="40" t="s">
        <v>116</v>
      </c>
      <c r="B25" s="65" t="s">
        <v>539</v>
      </c>
      <c r="C25" s="93" t="s">
        <v>107</v>
      </c>
      <c r="D25" s="92">
        <v>1</v>
      </c>
      <c r="E25" s="96"/>
      <c r="F25" s="74">
        <f>D25*E25</f>
        <v>0</v>
      </c>
    </row>
    <row r="26" spans="1:6" s="5" customFormat="1" x14ac:dyDescent="0.25">
      <c r="A26" s="40" t="str">
        <f t="shared" ref="A26:A36" si="0">CHAR(CODE(A25)+1)&amp;")"</f>
        <v>b)</v>
      </c>
      <c r="B26" s="65" t="s">
        <v>540</v>
      </c>
      <c r="C26" s="93" t="s">
        <v>107</v>
      </c>
      <c r="D26" s="92">
        <v>1</v>
      </c>
      <c r="E26" s="96"/>
      <c r="F26" s="74">
        <f t="shared" ref="F26:F38" si="1">D26*E26</f>
        <v>0</v>
      </c>
    </row>
    <row r="27" spans="1:6" s="5" customFormat="1" x14ac:dyDescent="0.25">
      <c r="A27" s="40" t="str">
        <f t="shared" si="0"/>
        <v>c)</v>
      </c>
      <c r="B27" s="65" t="s">
        <v>541</v>
      </c>
      <c r="C27" s="93" t="s">
        <v>107</v>
      </c>
      <c r="D27" s="92">
        <v>1</v>
      </c>
      <c r="E27" s="96"/>
      <c r="F27" s="74">
        <f t="shared" si="1"/>
        <v>0</v>
      </c>
    </row>
    <row r="28" spans="1:6" s="5" customFormat="1" x14ac:dyDescent="0.25">
      <c r="A28" s="40" t="str">
        <f t="shared" si="0"/>
        <v>d)</v>
      </c>
      <c r="B28" s="65" t="s">
        <v>542</v>
      </c>
      <c r="C28" s="93" t="s">
        <v>107</v>
      </c>
      <c r="D28" s="92">
        <v>3</v>
      </c>
      <c r="E28" s="96"/>
      <c r="F28" s="74">
        <f t="shared" si="1"/>
        <v>0</v>
      </c>
    </row>
    <row r="29" spans="1:6" s="5" customFormat="1" x14ac:dyDescent="0.25">
      <c r="A29" s="40" t="str">
        <f t="shared" si="0"/>
        <v>e)</v>
      </c>
      <c r="B29" s="65" t="s">
        <v>543</v>
      </c>
      <c r="C29" s="93" t="s">
        <v>107</v>
      </c>
      <c r="D29" s="92">
        <v>1</v>
      </c>
      <c r="E29" s="96"/>
      <c r="F29" s="74">
        <f t="shared" si="1"/>
        <v>0</v>
      </c>
    </row>
    <row r="30" spans="1:6" s="5" customFormat="1" x14ac:dyDescent="0.25">
      <c r="A30" s="40" t="str">
        <f t="shared" si="0"/>
        <v>f)</v>
      </c>
      <c r="B30" s="65" t="s">
        <v>544</v>
      </c>
      <c r="C30" s="93" t="s">
        <v>107</v>
      </c>
      <c r="D30" s="92">
        <v>1</v>
      </c>
      <c r="E30" s="96"/>
      <c r="F30" s="74">
        <f t="shared" si="1"/>
        <v>0</v>
      </c>
    </row>
    <row r="31" spans="1:6" s="5" customFormat="1" x14ac:dyDescent="0.25">
      <c r="A31" s="40" t="str">
        <f t="shared" si="0"/>
        <v>g)</v>
      </c>
      <c r="B31" s="65" t="s">
        <v>545</v>
      </c>
      <c r="C31" s="93" t="s">
        <v>107</v>
      </c>
      <c r="D31" s="92">
        <v>2</v>
      </c>
      <c r="E31" s="96"/>
      <c r="F31" s="74">
        <f t="shared" si="1"/>
        <v>0</v>
      </c>
    </row>
    <row r="32" spans="1:6" s="5" customFormat="1" x14ac:dyDescent="0.25">
      <c r="A32" s="40" t="str">
        <f t="shared" si="0"/>
        <v>h)</v>
      </c>
      <c r="B32" s="65" t="s">
        <v>546</v>
      </c>
      <c r="C32" s="93" t="s">
        <v>107</v>
      </c>
      <c r="D32" s="92">
        <v>4</v>
      </c>
      <c r="E32" s="96"/>
      <c r="F32" s="74">
        <f t="shared" si="1"/>
        <v>0</v>
      </c>
    </row>
    <row r="33" spans="1:6" s="5" customFormat="1" x14ac:dyDescent="0.25">
      <c r="A33" s="40" t="str">
        <f t="shared" si="0"/>
        <v>i)</v>
      </c>
      <c r="B33" s="65" t="s">
        <v>547</v>
      </c>
      <c r="C33" s="93" t="s">
        <v>107</v>
      </c>
      <c r="D33" s="92">
        <v>5</v>
      </c>
      <c r="E33" s="96"/>
      <c r="F33" s="74">
        <f t="shared" si="1"/>
        <v>0</v>
      </c>
    </row>
    <row r="34" spans="1:6" s="5" customFormat="1" x14ac:dyDescent="0.25">
      <c r="A34" s="40" t="str">
        <f t="shared" si="0"/>
        <v>j)</v>
      </c>
      <c r="B34" s="65" t="s">
        <v>548</v>
      </c>
      <c r="C34" s="93" t="s">
        <v>107</v>
      </c>
      <c r="D34" s="92">
        <v>1</v>
      </c>
      <c r="E34" s="96"/>
      <c r="F34" s="74">
        <f t="shared" si="1"/>
        <v>0</v>
      </c>
    </row>
    <row r="35" spans="1:6" s="5" customFormat="1" ht="31.5" x14ac:dyDescent="0.25">
      <c r="A35" s="40" t="str">
        <f t="shared" si="0"/>
        <v>k)</v>
      </c>
      <c r="B35" s="65" t="s">
        <v>549</v>
      </c>
      <c r="C35" s="93" t="s">
        <v>107</v>
      </c>
      <c r="D35" s="92">
        <v>1</v>
      </c>
      <c r="E35" s="96"/>
      <c r="F35" s="74">
        <f t="shared" si="1"/>
        <v>0</v>
      </c>
    </row>
    <row r="36" spans="1:6" s="5" customFormat="1" ht="63" x14ac:dyDescent="0.25">
      <c r="A36" s="40" t="str">
        <f t="shared" si="0"/>
        <v>l)</v>
      </c>
      <c r="B36" s="65" t="s">
        <v>550</v>
      </c>
      <c r="C36" s="93" t="s">
        <v>111</v>
      </c>
      <c r="D36" s="92">
        <v>1</v>
      </c>
      <c r="E36" s="96"/>
      <c r="F36" s="74">
        <f t="shared" si="1"/>
        <v>0</v>
      </c>
    </row>
    <row r="37" spans="1:6" s="5" customFormat="1" x14ac:dyDescent="0.25">
      <c r="A37" s="40"/>
      <c r="B37" s="65"/>
      <c r="C37" s="93"/>
      <c r="D37" s="92"/>
      <c r="E37" s="96"/>
      <c r="F37" s="74"/>
    </row>
    <row r="38" spans="1:6" s="5" customFormat="1" ht="94.5" x14ac:dyDescent="0.25">
      <c r="A38" s="40">
        <f>COUNT(A$22:A37)+1</f>
        <v>2</v>
      </c>
      <c r="B38" s="65" t="s">
        <v>551</v>
      </c>
      <c r="C38" s="93" t="s">
        <v>111</v>
      </c>
      <c r="D38" s="92">
        <v>1</v>
      </c>
      <c r="E38" s="96"/>
      <c r="F38" s="74">
        <f t="shared" si="1"/>
        <v>0</v>
      </c>
    </row>
    <row r="39" spans="1:6" s="5" customFormat="1" x14ac:dyDescent="0.25">
      <c r="A39" s="40"/>
      <c r="B39" s="65"/>
      <c r="C39" s="93"/>
      <c r="D39" s="92"/>
      <c r="E39" s="96"/>
      <c r="F39" s="74"/>
    </row>
    <row r="40" spans="1:6" s="5" customFormat="1" ht="63" x14ac:dyDescent="0.25">
      <c r="A40" s="40">
        <f>COUNT(A$22:A39)+1</f>
        <v>3</v>
      </c>
      <c r="B40" s="65" t="s">
        <v>552</v>
      </c>
      <c r="C40" s="93"/>
      <c r="D40" s="92"/>
      <c r="E40" s="96"/>
      <c r="F40" s="74"/>
    </row>
    <row r="41" spans="1:6" s="5" customFormat="1" x14ac:dyDescent="0.25">
      <c r="A41" s="40" t="s">
        <v>116</v>
      </c>
      <c r="B41" s="65" t="s">
        <v>553</v>
      </c>
      <c r="C41" s="93" t="s">
        <v>106</v>
      </c>
      <c r="D41" s="92">
        <v>120</v>
      </c>
      <c r="E41" s="96"/>
      <c r="F41" s="74">
        <f t="shared" ref="F41:F46" si="2">D41*E41</f>
        <v>0</v>
      </c>
    </row>
    <row r="42" spans="1:6" s="5" customFormat="1" x14ac:dyDescent="0.25">
      <c r="A42" s="40" t="str">
        <f t="shared" ref="A42:A44" si="3">CHAR(CODE(A41)+1)&amp;")"</f>
        <v>b)</v>
      </c>
      <c r="B42" s="65" t="s">
        <v>554</v>
      </c>
      <c r="C42" s="93" t="s">
        <v>106</v>
      </c>
      <c r="D42" s="92">
        <v>80</v>
      </c>
      <c r="E42" s="96"/>
      <c r="F42" s="74">
        <f t="shared" si="2"/>
        <v>0</v>
      </c>
    </row>
    <row r="43" spans="1:6" s="5" customFormat="1" x14ac:dyDescent="0.25">
      <c r="A43" s="40" t="str">
        <f t="shared" si="3"/>
        <v>c)</v>
      </c>
      <c r="B43" s="65" t="s">
        <v>555</v>
      </c>
      <c r="C43" s="93" t="s">
        <v>106</v>
      </c>
      <c r="D43" s="92">
        <v>100</v>
      </c>
      <c r="E43" s="96"/>
      <c r="F43" s="74">
        <f t="shared" si="2"/>
        <v>0</v>
      </c>
    </row>
    <row r="44" spans="1:6" s="5" customFormat="1" x14ac:dyDescent="0.25">
      <c r="A44" s="40" t="str">
        <f t="shared" si="3"/>
        <v>d)</v>
      </c>
      <c r="B44" s="65" t="s">
        <v>556</v>
      </c>
      <c r="C44" s="93" t="s">
        <v>106</v>
      </c>
      <c r="D44" s="92">
        <v>50</v>
      </c>
      <c r="E44" s="96"/>
      <c r="F44" s="74">
        <f t="shared" si="2"/>
        <v>0</v>
      </c>
    </row>
    <row r="45" spans="1:6" s="5" customFormat="1" x14ac:dyDescent="0.25">
      <c r="A45" s="40"/>
      <c r="B45" s="65"/>
      <c r="C45" s="93"/>
      <c r="D45" s="92"/>
      <c r="E45" s="96"/>
      <c r="F45" s="74"/>
    </row>
    <row r="46" spans="1:6" s="5" customFormat="1" ht="63" x14ac:dyDescent="0.25">
      <c r="A46" s="40">
        <f>COUNT(A$22:A45)+1</f>
        <v>4</v>
      </c>
      <c r="B46" s="65" t="s">
        <v>557</v>
      </c>
      <c r="C46" s="93" t="s">
        <v>106</v>
      </c>
      <c r="D46" s="92">
        <v>30</v>
      </c>
      <c r="E46" s="96"/>
      <c r="F46" s="74">
        <f t="shared" si="2"/>
        <v>0</v>
      </c>
    </row>
    <row r="47" spans="1:6" s="5" customFormat="1" x14ac:dyDescent="0.25">
      <c r="A47" s="40"/>
      <c r="B47" s="65"/>
      <c r="C47" s="93"/>
      <c r="D47" s="92"/>
      <c r="E47" s="96"/>
      <c r="F47" s="74"/>
    </row>
    <row r="48" spans="1:6" x14ac:dyDescent="0.25">
      <c r="A48" s="39"/>
      <c r="B48" s="26" t="str">
        <f>"UKUPNO - "&amp;TEXT(A22,) &amp;" " &amp;TEXT(B22,)&amp;" (€):"</f>
        <v>UKUPNO - C.2. RAZVODNI UREĐAJI I NAPOJNI VODOVI (€):</v>
      </c>
      <c r="C48" s="82"/>
      <c r="D48" s="83"/>
      <c r="E48" s="98"/>
      <c r="F48" s="72">
        <f>SUM(F23:F47)</f>
        <v>0</v>
      </c>
    </row>
    <row r="49" spans="1:6" x14ac:dyDescent="0.25">
      <c r="B49" s="20"/>
      <c r="D49" s="81"/>
      <c r="E49" s="95"/>
      <c r="F49" s="72"/>
    </row>
    <row r="50" spans="1:6" x14ac:dyDescent="0.25">
      <c r="B50" s="20"/>
      <c r="E50" s="95"/>
    </row>
    <row r="51" spans="1:6" x14ac:dyDescent="0.25">
      <c r="A51" s="39" t="str">
        <f>TEXT($A$7,)&amp;"3."</f>
        <v>C.3.</v>
      </c>
      <c r="B51" s="21" t="s">
        <v>558</v>
      </c>
      <c r="C51" s="82"/>
      <c r="D51" s="83"/>
      <c r="E51" s="97"/>
      <c r="F51" s="70"/>
    </row>
    <row r="52" spans="1:6" x14ac:dyDescent="0.25">
      <c r="B52" s="20"/>
      <c r="F52" s="72"/>
    </row>
    <row r="53" spans="1:6" s="5" customFormat="1" ht="31.5" x14ac:dyDescent="0.25">
      <c r="A53" s="40">
        <f>COUNT(A$51:A52)+1</f>
        <v>1</v>
      </c>
      <c r="B53" s="65" t="s">
        <v>559</v>
      </c>
      <c r="C53" s="93" t="s">
        <v>107</v>
      </c>
      <c r="D53" s="92">
        <v>3</v>
      </c>
      <c r="E53" s="96"/>
      <c r="F53" s="74">
        <f>D53*E53</f>
        <v>0</v>
      </c>
    </row>
    <row r="54" spans="1:6" s="5" customFormat="1" x14ac:dyDescent="0.25">
      <c r="A54" s="40"/>
      <c r="B54" s="65"/>
      <c r="C54" s="93"/>
      <c r="D54" s="92"/>
      <c r="E54" s="96"/>
      <c r="F54" s="74"/>
    </row>
    <row r="55" spans="1:6" s="5" customFormat="1" ht="31.5" x14ac:dyDescent="0.25">
      <c r="A55" s="40">
        <f>COUNT(A$51:A54)+1</f>
        <v>2</v>
      </c>
      <c r="B55" s="65" t="s">
        <v>560</v>
      </c>
      <c r="C55" s="93" t="s">
        <v>106</v>
      </c>
      <c r="D55" s="92">
        <v>30</v>
      </c>
      <c r="E55" s="96"/>
      <c r="F55" s="74">
        <f>D55*E55</f>
        <v>0</v>
      </c>
    </row>
    <row r="56" spans="1:6" s="5" customFormat="1" x14ac:dyDescent="0.25">
      <c r="A56" s="40"/>
      <c r="B56" s="65"/>
      <c r="C56" s="93"/>
      <c r="D56" s="92"/>
      <c r="E56" s="96"/>
      <c r="F56" s="74"/>
    </row>
    <row r="57" spans="1:6" s="5" customFormat="1" ht="31.5" x14ac:dyDescent="0.25">
      <c r="A57" s="40">
        <f>COUNT(A$51:A56)+1</f>
        <v>3</v>
      </c>
      <c r="B57" s="65" t="s">
        <v>561</v>
      </c>
      <c r="C57" s="93" t="s">
        <v>106</v>
      </c>
      <c r="D57" s="92">
        <v>40</v>
      </c>
      <c r="E57" s="96"/>
      <c r="F57" s="74">
        <f>D57*E57</f>
        <v>0</v>
      </c>
    </row>
    <row r="58" spans="1:6" s="5" customFormat="1" x14ac:dyDescent="0.25">
      <c r="A58" s="40"/>
      <c r="B58" s="65"/>
      <c r="C58" s="93"/>
      <c r="D58" s="92"/>
      <c r="E58" s="96"/>
      <c r="F58" s="74"/>
    </row>
    <row r="59" spans="1:6" s="5" customFormat="1" x14ac:dyDescent="0.25">
      <c r="A59" s="40">
        <f>COUNT(A$51:A58)+1</f>
        <v>4</v>
      </c>
      <c r="B59" s="65" t="s">
        <v>562</v>
      </c>
      <c r="C59" s="93" t="s">
        <v>107</v>
      </c>
      <c r="D59" s="92">
        <v>6</v>
      </c>
      <c r="E59" s="96"/>
      <c r="F59" s="74">
        <f>D59*E59</f>
        <v>0</v>
      </c>
    </row>
    <row r="60" spans="1:6" s="5" customFormat="1" x14ac:dyDescent="0.25">
      <c r="A60" s="40"/>
      <c r="B60" s="65"/>
      <c r="C60" s="93"/>
      <c r="D60" s="92"/>
      <c r="E60" s="96"/>
      <c r="F60" s="74"/>
    </row>
    <row r="61" spans="1:6" x14ac:dyDescent="0.25">
      <c r="A61" s="39"/>
      <c r="B61" s="21" t="str">
        <f>"UKUPNO - "&amp;TEXT(A51,) &amp;" " &amp;TEXT(B51,)&amp;" (€):"</f>
        <v>UKUPNO - C.3. IZJEDNAČENJE POTENCIJALA (€):</v>
      </c>
      <c r="C61" s="82"/>
      <c r="D61" s="83"/>
      <c r="E61" s="98"/>
      <c r="F61" s="72">
        <f>SUM(F52:F60)</f>
        <v>0</v>
      </c>
    </row>
    <row r="62" spans="1:6" x14ac:dyDescent="0.25">
      <c r="B62" s="20"/>
      <c r="D62" s="81"/>
      <c r="E62" s="95"/>
      <c r="F62" s="72"/>
    </row>
    <row r="63" spans="1:6" x14ac:dyDescent="0.25">
      <c r="B63" s="20"/>
      <c r="E63" s="95"/>
    </row>
    <row r="64" spans="1:6" x14ac:dyDescent="0.25">
      <c r="A64" s="39" t="str">
        <f>TEXT($A$7,)&amp;"4."</f>
        <v>C.4.</v>
      </c>
      <c r="B64" s="21" t="s">
        <v>563</v>
      </c>
      <c r="C64" s="82"/>
      <c r="D64" s="83"/>
      <c r="E64" s="97"/>
      <c r="F64" s="70"/>
    </row>
    <row r="65" spans="1:6" x14ac:dyDescent="0.25">
      <c r="B65" s="20"/>
      <c r="F65" s="72"/>
    </row>
    <row r="66" spans="1:6" s="5" customFormat="1" ht="94.5" x14ac:dyDescent="0.25">
      <c r="A66" s="40">
        <f>COUNT(A$64:A65)+1</f>
        <v>1</v>
      </c>
      <c r="B66" s="65" t="s">
        <v>569</v>
      </c>
      <c r="C66" s="93" t="s">
        <v>107</v>
      </c>
      <c r="D66" s="92">
        <v>7</v>
      </c>
      <c r="E66" s="96"/>
      <c r="F66" s="74">
        <f>D66*E66</f>
        <v>0</v>
      </c>
    </row>
    <row r="67" spans="1:6" s="5" customFormat="1" x14ac:dyDescent="0.25">
      <c r="A67" s="40"/>
      <c r="B67" s="65"/>
      <c r="C67" s="93"/>
      <c r="D67" s="92"/>
      <c r="E67" s="96"/>
      <c r="F67" s="74"/>
    </row>
    <row r="68" spans="1:6" s="5" customFormat="1" ht="31.5" x14ac:dyDescent="0.25">
      <c r="A68" s="40">
        <f>COUNT(A$64:A67)+1</f>
        <v>2</v>
      </c>
      <c r="B68" s="65" t="s">
        <v>570</v>
      </c>
      <c r="C68" s="93" t="s">
        <v>107</v>
      </c>
      <c r="D68" s="92">
        <v>1</v>
      </c>
      <c r="E68" s="96"/>
      <c r="F68" s="74">
        <f>D68*E68</f>
        <v>0</v>
      </c>
    </row>
    <row r="69" spans="1:6" s="5" customFormat="1" x14ac:dyDescent="0.25">
      <c r="A69" s="40"/>
      <c r="B69" s="65"/>
      <c r="C69" s="93"/>
      <c r="D69" s="92"/>
      <c r="E69" s="96"/>
      <c r="F69" s="74"/>
    </row>
    <row r="70" spans="1:6" s="5" customFormat="1" x14ac:dyDescent="0.25">
      <c r="A70" s="40">
        <f>COUNT(A$64:A69)+1</f>
        <v>3</v>
      </c>
      <c r="B70" s="65" t="s">
        <v>571</v>
      </c>
      <c r="C70" s="93" t="s">
        <v>107</v>
      </c>
      <c r="D70" s="92">
        <v>5</v>
      </c>
      <c r="E70" s="96"/>
      <c r="F70" s="74">
        <f>D70*E70</f>
        <v>0</v>
      </c>
    </row>
    <row r="71" spans="1:6" s="5" customFormat="1" x14ac:dyDescent="0.25">
      <c r="A71" s="40"/>
      <c r="B71" s="65"/>
      <c r="C71" s="93"/>
      <c r="D71" s="92"/>
      <c r="E71" s="96"/>
      <c r="F71" s="74"/>
    </row>
    <row r="72" spans="1:6" x14ac:dyDescent="0.25">
      <c r="A72" s="39"/>
      <c r="B72" s="21" t="str">
        <f>"UKUPNO - "&amp;TEXT(A64,) &amp;" " &amp;TEXT(B64,)&amp;" (€):"</f>
        <v>UKUPNO - C.4. INSTALACIJA PRIKLJUČNICA I EMP-A (€):</v>
      </c>
      <c r="C72" s="82"/>
      <c r="D72" s="83"/>
      <c r="E72" s="98"/>
      <c r="F72" s="72">
        <f>SUM(F65:F71)</f>
        <v>0</v>
      </c>
    </row>
    <row r="73" spans="1:6" x14ac:dyDescent="0.25">
      <c r="B73" s="20"/>
      <c r="D73" s="81"/>
      <c r="E73" s="95"/>
      <c r="F73" s="72"/>
    </row>
    <row r="74" spans="1:6" x14ac:dyDescent="0.25">
      <c r="B74" s="20"/>
      <c r="E74" s="95"/>
    </row>
    <row r="75" spans="1:6" x14ac:dyDescent="0.25">
      <c r="A75" s="39" t="str">
        <f>TEXT($A$7,)&amp;"5."</f>
        <v>C.5.</v>
      </c>
      <c r="B75" s="21" t="s">
        <v>564</v>
      </c>
      <c r="C75" s="82"/>
      <c r="D75" s="83"/>
      <c r="E75" s="97"/>
      <c r="F75" s="70"/>
    </row>
    <row r="76" spans="1:6" x14ac:dyDescent="0.25">
      <c r="B76" s="20"/>
      <c r="F76" s="72"/>
    </row>
    <row r="77" spans="1:6" s="5" customFormat="1" ht="31.5" x14ac:dyDescent="0.25">
      <c r="A77" s="40">
        <f>COUNT(A$75:A76)+1</f>
        <v>1</v>
      </c>
      <c r="B77" s="65" t="s">
        <v>573</v>
      </c>
      <c r="C77" s="93" t="s">
        <v>107</v>
      </c>
      <c r="D77" s="92">
        <v>12</v>
      </c>
      <c r="E77" s="96"/>
      <c r="F77" s="74">
        <f>D77*E77</f>
        <v>0</v>
      </c>
    </row>
    <row r="78" spans="1:6" s="5" customFormat="1" x14ac:dyDescent="0.25">
      <c r="A78" s="40"/>
      <c r="B78" s="65"/>
      <c r="C78" s="93"/>
      <c r="D78" s="92"/>
      <c r="E78" s="96"/>
      <c r="F78" s="74"/>
    </row>
    <row r="79" spans="1:6" s="5" customFormat="1" ht="47.25" x14ac:dyDescent="0.25">
      <c r="A79" s="40">
        <f>COUNT(A$75:A78)+1</f>
        <v>2</v>
      </c>
      <c r="B79" s="65" t="s">
        <v>577</v>
      </c>
      <c r="C79" s="93" t="s">
        <v>107</v>
      </c>
      <c r="D79" s="92">
        <v>10</v>
      </c>
      <c r="E79" s="96"/>
      <c r="F79" s="74">
        <f>D79*E79</f>
        <v>0</v>
      </c>
    </row>
    <row r="80" spans="1:6" s="5" customFormat="1" x14ac:dyDescent="0.25">
      <c r="A80" s="40"/>
      <c r="B80" s="65"/>
      <c r="C80" s="93"/>
      <c r="D80" s="92"/>
      <c r="E80" s="96"/>
      <c r="F80" s="74"/>
    </row>
    <row r="81" spans="1:6" s="5" customFormat="1" ht="31.5" x14ac:dyDescent="0.25">
      <c r="A81" s="40">
        <f>COUNT(A$75:A80)+1</f>
        <v>3</v>
      </c>
      <c r="B81" s="65" t="s">
        <v>578</v>
      </c>
      <c r="C81" s="93" t="s">
        <v>107</v>
      </c>
      <c r="D81" s="92">
        <v>2</v>
      </c>
      <c r="E81" s="96"/>
      <c r="F81" s="74">
        <f>D81*E81</f>
        <v>0</v>
      </c>
    </row>
    <row r="82" spans="1:6" s="5" customFormat="1" x14ac:dyDescent="0.25">
      <c r="A82" s="40"/>
      <c r="B82" s="65"/>
      <c r="C82" s="93"/>
      <c r="D82" s="92"/>
      <c r="E82" s="96"/>
      <c r="F82" s="74"/>
    </row>
    <row r="83" spans="1:6" s="5" customFormat="1" ht="31.5" x14ac:dyDescent="0.25">
      <c r="A83" s="40">
        <f>COUNT(A$75:A82)+1</f>
        <v>4</v>
      </c>
      <c r="B83" s="65" t="s">
        <v>576</v>
      </c>
      <c r="C83" s="93" t="s">
        <v>107</v>
      </c>
      <c r="D83" s="92">
        <v>3</v>
      </c>
      <c r="E83" s="96"/>
      <c r="F83" s="74">
        <f>D83*E83</f>
        <v>0</v>
      </c>
    </row>
    <row r="84" spans="1:6" s="5" customFormat="1" x14ac:dyDescent="0.25">
      <c r="A84" s="40"/>
      <c r="B84" s="65"/>
      <c r="C84" s="93"/>
      <c r="D84" s="92"/>
      <c r="E84" s="96"/>
      <c r="F84" s="74"/>
    </row>
    <row r="85" spans="1:6" s="5" customFormat="1" ht="31.5" x14ac:dyDescent="0.25">
      <c r="A85" s="40">
        <f>COUNT(A$75:A84)+1</f>
        <v>5</v>
      </c>
      <c r="B85" s="65" t="s">
        <v>572</v>
      </c>
      <c r="C85" s="93" t="s">
        <v>107</v>
      </c>
      <c r="D85" s="92">
        <v>4</v>
      </c>
      <c r="E85" s="96"/>
      <c r="F85" s="74">
        <f>D85*E85</f>
        <v>0</v>
      </c>
    </row>
    <row r="86" spans="1:6" s="5" customFormat="1" x14ac:dyDescent="0.25">
      <c r="A86" s="40"/>
      <c r="B86" s="65"/>
      <c r="C86" s="93"/>
      <c r="D86" s="92"/>
      <c r="E86" s="96"/>
      <c r="F86" s="74"/>
    </row>
    <row r="87" spans="1:6" s="5" customFormat="1" ht="78.75" x14ac:dyDescent="0.25">
      <c r="A87" s="40">
        <f>COUNT(A$75:A86)+1</f>
        <v>6</v>
      </c>
      <c r="B87" s="65" t="s">
        <v>574</v>
      </c>
      <c r="C87" s="93" t="s">
        <v>107</v>
      </c>
      <c r="D87" s="92">
        <v>4</v>
      </c>
      <c r="E87" s="96"/>
      <c r="F87" s="74">
        <f>D87*E87</f>
        <v>0</v>
      </c>
    </row>
    <row r="88" spans="1:6" s="5" customFormat="1" x14ac:dyDescent="0.25">
      <c r="A88" s="40"/>
      <c r="B88" s="65"/>
      <c r="C88" s="93"/>
      <c r="D88" s="92"/>
      <c r="E88" s="96"/>
      <c r="F88" s="74"/>
    </row>
    <row r="89" spans="1:6" s="5" customFormat="1" ht="78.75" x14ac:dyDescent="0.25">
      <c r="A89" s="40">
        <f>COUNT(A$75:A88)+1</f>
        <v>7</v>
      </c>
      <c r="B89" s="65" t="s">
        <v>575</v>
      </c>
      <c r="C89" s="93" t="s">
        <v>107</v>
      </c>
      <c r="D89" s="92">
        <v>2</v>
      </c>
      <c r="E89" s="96"/>
      <c r="F89" s="74">
        <f>D89*E89</f>
        <v>0</v>
      </c>
    </row>
    <row r="90" spans="1:6" s="5" customFormat="1" x14ac:dyDescent="0.25">
      <c r="A90" s="40"/>
      <c r="B90" s="65"/>
      <c r="C90" s="93"/>
      <c r="D90" s="92"/>
      <c r="E90" s="96"/>
      <c r="F90" s="74"/>
    </row>
    <row r="91" spans="1:6" s="5" customFormat="1" x14ac:dyDescent="0.25">
      <c r="A91" s="40">
        <f>COUNT(A$75:A90)+1</f>
        <v>8</v>
      </c>
      <c r="B91" s="65" t="s">
        <v>571</v>
      </c>
      <c r="C91" s="93" t="s">
        <v>107</v>
      </c>
      <c r="D91" s="92">
        <v>5</v>
      </c>
      <c r="E91" s="96"/>
      <c r="F91" s="74">
        <f>D91*E91</f>
        <v>0</v>
      </c>
    </row>
    <row r="92" spans="1:6" s="5" customFormat="1" x14ac:dyDescent="0.25">
      <c r="A92" s="40"/>
      <c r="B92" s="65"/>
      <c r="C92" s="93"/>
      <c r="D92" s="92"/>
      <c r="E92" s="96"/>
      <c r="F92" s="74"/>
    </row>
    <row r="93" spans="1:6" x14ac:dyDescent="0.25">
      <c r="A93" s="39"/>
      <c r="B93" s="21" t="str">
        <f>"UKUPNO - "&amp;TEXT(A75,) &amp;" " &amp;TEXT(B75,)&amp;" (€):"</f>
        <v>UKUPNO - C.5. INSTALACIJA ELEKTRIČNE RASVJETE (€):</v>
      </c>
      <c r="C93" s="82"/>
      <c r="D93" s="83"/>
      <c r="E93" s="98"/>
      <c r="F93" s="72">
        <f>SUM(F76:F92)</f>
        <v>0</v>
      </c>
    </row>
    <row r="94" spans="1:6" x14ac:dyDescent="0.25">
      <c r="B94" s="20"/>
      <c r="D94" s="81"/>
      <c r="E94" s="95"/>
      <c r="F94" s="72"/>
    </row>
    <row r="95" spans="1:6" x14ac:dyDescent="0.25">
      <c r="B95" s="20"/>
      <c r="E95" s="95"/>
    </row>
    <row r="96" spans="1:6" x14ac:dyDescent="0.25">
      <c r="A96" s="39" t="str">
        <f>TEXT($A$7,)&amp;"6."</f>
        <v>C.6.</v>
      </c>
      <c r="B96" s="21" t="s">
        <v>565</v>
      </c>
      <c r="C96" s="82"/>
      <c r="D96" s="83"/>
      <c r="E96" s="97"/>
      <c r="F96" s="70"/>
    </row>
    <row r="97" spans="1:6" x14ac:dyDescent="0.25">
      <c r="B97" s="20"/>
      <c r="F97" s="72"/>
    </row>
    <row r="98" spans="1:6" s="5" customFormat="1" x14ac:dyDescent="0.25">
      <c r="A98" s="40">
        <f>COUNT(A$96:A97)+1</f>
        <v>1</v>
      </c>
      <c r="B98" s="65" t="s">
        <v>579</v>
      </c>
      <c r="C98" s="93"/>
      <c r="D98" s="92"/>
      <c r="E98" s="96"/>
      <c r="F98" s="74"/>
    </row>
    <row r="99" spans="1:6" s="5" customFormat="1" x14ac:dyDescent="0.25">
      <c r="A99" s="40" t="s">
        <v>116</v>
      </c>
      <c r="B99" s="65" t="s">
        <v>580</v>
      </c>
      <c r="C99" s="93" t="s">
        <v>107</v>
      </c>
      <c r="D99" s="92">
        <v>1</v>
      </c>
      <c r="E99" s="96"/>
      <c r="F99" s="74">
        <f>D99*E99</f>
        <v>0</v>
      </c>
    </row>
    <row r="100" spans="1:6" s="5" customFormat="1" ht="31.5" x14ac:dyDescent="0.25">
      <c r="A100" s="40" t="str">
        <f t="shared" ref="A100:A106" si="4">CHAR(CODE(A99)+1)&amp;")"</f>
        <v>b)</v>
      </c>
      <c r="B100" s="65" t="s">
        <v>581</v>
      </c>
      <c r="C100" s="93" t="s">
        <v>107</v>
      </c>
      <c r="D100" s="92">
        <v>1</v>
      </c>
      <c r="E100" s="96"/>
      <c r="F100" s="74">
        <f t="shared" ref="F100:F106" si="5">D100*E100</f>
        <v>0</v>
      </c>
    </row>
    <row r="101" spans="1:6" s="5" customFormat="1" x14ac:dyDescent="0.25">
      <c r="A101" s="40" t="str">
        <f t="shared" si="4"/>
        <v>c)</v>
      </c>
      <c r="B101" s="65" t="s">
        <v>582</v>
      </c>
      <c r="C101" s="93" t="s">
        <v>107</v>
      </c>
      <c r="D101" s="92">
        <v>1</v>
      </c>
      <c r="E101" s="96"/>
      <c r="F101" s="74">
        <f t="shared" si="5"/>
        <v>0</v>
      </c>
    </row>
    <row r="102" spans="1:6" s="5" customFormat="1" x14ac:dyDescent="0.25">
      <c r="A102" s="40" t="str">
        <f t="shared" si="4"/>
        <v>d)</v>
      </c>
      <c r="B102" s="65" t="s">
        <v>583</v>
      </c>
      <c r="C102" s="93" t="s">
        <v>107</v>
      </c>
      <c r="D102" s="92">
        <v>1</v>
      </c>
      <c r="E102" s="96"/>
      <c r="F102" s="74">
        <f t="shared" si="5"/>
        <v>0</v>
      </c>
    </row>
    <row r="103" spans="1:6" s="5" customFormat="1" ht="31.5" x14ac:dyDescent="0.25">
      <c r="A103" s="40" t="str">
        <f t="shared" si="4"/>
        <v>e)</v>
      </c>
      <c r="B103" s="65" t="s">
        <v>584</v>
      </c>
      <c r="C103" s="93" t="s">
        <v>107</v>
      </c>
      <c r="D103" s="92">
        <v>1</v>
      </c>
      <c r="E103" s="96"/>
      <c r="F103" s="74">
        <f t="shared" si="5"/>
        <v>0</v>
      </c>
    </row>
    <row r="104" spans="1:6" s="5" customFormat="1" x14ac:dyDescent="0.25">
      <c r="A104" s="40" t="str">
        <f t="shared" si="4"/>
        <v>f)</v>
      </c>
      <c r="B104" s="65" t="s">
        <v>585</v>
      </c>
      <c r="C104" s="93" t="s">
        <v>107</v>
      </c>
      <c r="D104" s="92">
        <v>1</v>
      </c>
      <c r="E104" s="96"/>
      <c r="F104" s="74">
        <f t="shared" si="5"/>
        <v>0</v>
      </c>
    </row>
    <row r="105" spans="1:6" s="5" customFormat="1" x14ac:dyDescent="0.25">
      <c r="A105" s="40" t="str">
        <f t="shared" si="4"/>
        <v>g)</v>
      </c>
      <c r="B105" s="65" t="s">
        <v>586</v>
      </c>
      <c r="C105" s="93" t="s">
        <v>107</v>
      </c>
      <c r="D105" s="92">
        <v>1</v>
      </c>
      <c r="E105" s="96"/>
      <c r="F105" s="74">
        <f t="shared" si="5"/>
        <v>0</v>
      </c>
    </row>
    <row r="106" spans="1:6" s="5" customFormat="1" ht="31.5" x14ac:dyDescent="0.25">
      <c r="A106" s="40" t="str">
        <f t="shared" si="4"/>
        <v>h)</v>
      </c>
      <c r="B106" s="65" t="s">
        <v>587</v>
      </c>
      <c r="C106" s="93" t="s">
        <v>107</v>
      </c>
      <c r="D106" s="92">
        <v>1</v>
      </c>
      <c r="E106" s="96"/>
      <c r="F106" s="74">
        <f t="shared" si="5"/>
        <v>0</v>
      </c>
    </row>
    <row r="107" spans="1:6" s="5" customFormat="1" x14ac:dyDescent="0.25">
      <c r="A107" s="40"/>
      <c r="B107" s="65"/>
      <c r="C107" s="93"/>
      <c r="D107" s="92"/>
      <c r="E107" s="96"/>
      <c r="F107" s="74"/>
    </row>
    <row r="108" spans="1:6" x14ac:dyDescent="0.25">
      <c r="A108" s="39"/>
      <c r="B108" s="21" t="str">
        <f>"UKUPNO - "&amp;TEXT(A96,) &amp;" " &amp;TEXT(B96,)&amp;" (€):"</f>
        <v>UKUPNO - C.6. ISPITIVANJE I IZDAVANJE ATESTA (€):</v>
      </c>
      <c r="C108" s="82"/>
      <c r="D108" s="83"/>
      <c r="E108" s="98"/>
      <c r="F108" s="72">
        <f>SUM(F97:F107)</f>
        <v>0</v>
      </c>
    </row>
    <row r="109" spans="1:6" x14ac:dyDescent="0.25">
      <c r="B109" s="20"/>
      <c r="D109" s="81"/>
      <c r="E109" s="95"/>
      <c r="F109" s="72"/>
    </row>
    <row r="110" spans="1:6" x14ac:dyDescent="0.25">
      <c r="B110" s="20"/>
      <c r="E110" s="95"/>
    </row>
    <row r="111" spans="1:6" x14ac:dyDescent="0.25">
      <c r="A111" s="39" t="str">
        <f>TEXT($A$7,)&amp;"7."</f>
        <v>C.7.</v>
      </c>
      <c r="B111" s="21" t="s">
        <v>566</v>
      </c>
      <c r="C111" s="82"/>
      <c r="D111" s="83"/>
      <c r="E111" s="97"/>
      <c r="F111" s="70"/>
    </row>
    <row r="112" spans="1:6" x14ac:dyDescent="0.25">
      <c r="B112" s="20"/>
      <c r="F112" s="72"/>
    </row>
    <row r="113" spans="1:6" s="5" customFormat="1" x14ac:dyDescent="0.25">
      <c r="A113" s="40">
        <f>COUNT(A$111:A112)+1</f>
        <v>1</v>
      </c>
      <c r="B113" s="65" t="s">
        <v>588</v>
      </c>
      <c r="C113" s="93" t="s">
        <v>111</v>
      </c>
      <c r="D113" s="92">
        <v>1</v>
      </c>
      <c r="E113" s="96"/>
      <c r="F113" s="74">
        <f>D113*E113</f>
        <v>0</v>
      </c>
    </row>
    <row r="114" spans="1:6" s="5" customFormat="1" x14ac:dyDescent="0.25">
      <c r="A114" s="40"/>
      <c r="B114" s="65"/>
      <c r="C114" s="93"/>
      <c r="D114" s="92"/>
      <c r="E114" s="96"/>
      <c r="F114" s="74"/>
    </row>
    <row r="115" spans="1:6" x14ac:dyDescent="0.25">
      <c r="A115" s="39"/>
      <c r="B115" s="21" t="str">
        <f>"UKUPNO - "&amp;TEXT(A111,) &amp;" " &amp;TEXT(B111,)&amp;" (€):"</f>
        <v>UKUPNO - C.7. OSTALI RADOVI (€):</v>
      </c>
      <c r="C115" s="82"/>
      <c r="D115" s="83"/>
      <c r="E115" s="98"/>
      <c r="F115" s="72">
        <f>SUM(F112:F114)</f>
        <v>0</v>
      </c>
    </row>
    <row r="116" spans="1:6" x14ac:dyDescent="0.25">
      <c r="B116" s="20"/>
      <c r="D116" s="81"/>
      <c r="E116" s="95"/>
      <c r="F116" s="72"/>
    </row>
    <row r="117" spans="1:6" x14ac:dyDescent="0.25">
      <c r="B117" s="20"/>
      <c r="E117" s="95"/>
    </row>
    <row r="118" spans="1:6" x14ac:dyDescent="0.25">
      <c r="A118" s="39" t="str">
        <f>TEXT($A$7,)&amp;"8."</f>
        <v>C.8.</v>
      </c>
      <c r="B118" s="21" t="s">
        <v>567</v>
      </c>
      <c r="C118" s="82"/>
      <c r="D118" s="83"/>
      <c r="E118" s="97"/>
      <c r="F118" s="70"/>
    </row>
    <row r="119" spans="1:6" x14ac:dyDescent="0.25">
      <c r="B119" s="20"/>
      <c r="F119" s="72"/>
    </row>
    <row r="120" spans="1:6" s="5" customFormat="1" ht="31.5" x14ac:dyDescent="0.25">
      <c r="A120" s="40">
        <f>COUNT(A$118:A119)+1</f>
        <v>1</v>
      </c>
      <c r="B120" s="65" t="s">
        <v>589</v>
      </c>
      <c r="C120" s="93"/>
      <c r="D120" s="92"/>
      <c r="E120" s="96"/>
      <c r="F120" s="74"/>
    </row>
    <row r="121" spans="1:6" s="5" customFormat="1" x14ac:dyDescent="0.25">
      <c r="A121" s="40"/>
      <c r="B121" s="65" t="s">
        <v>590</v>
      </c>
      <c r="C121" s="93" t="s">
        <v>106</v>
      </c>
      <c r="D121" s="92">
        <v>100</v>
      </c>
      <c r="E121" s="96"/>
      <c r="F121" s="74">
        <f>D121*E121</f>
        <v>0</v>
      </c>
    </row>
    <row r="122" spans="1:6" s="5" customFormat="1" x14ac:dyDescent="0.25">
      <c r="A122" s="40"/>
      <c r="B122" s="65"/>
      <c r="C122" s="93"/>
      <c r="D122" s="92"/>
      <c r="E122" s="96"/>
      <c r="F122" s="74"/>
    </row>
    <row r="123" spans="1:6" s="5" customFormat="1" x14ac:dyDescent="0.25">
      <c r="A123" s="40">
        <f>COUNT(A$118:A122)+1</f>
        <v>2</v>
      </c>
      <c r="B123" s="65" t="s">
        <v>591</v>
      </c>
      <c r="C123" s="93"/>
      <c r="D123" s="92"/>
      <c r="E123" s="96"/>
      <c r="F123" s="74"/>
    </row>
    <row r="124" spans="1:6" s="5" customFormat="1" x14ac:dyDescent="0.25">
      <c r="A124" s="40" t="s">
        <v>116</v>
      </c>
      <c r="B124" s="65" t="s">
        <v>592</v>
      </c>
      <c r="C124" s="93" t="s">
        <v>106</v>
      </c>
      <c r="D124" s="92">
        <v>50</v>
      </c>
      <c r="E124" s="96"/>
      <c r="F124" s="74">
        <f t="shared" ref="F124:F125" si="6">D124*E124</f>
        <v>0</v>
      </c>
    </row>
    <row r="125" spans="1:6" s="5" customFormat="1" x14ac:dyDescent="0.25">
      <c r="A125" s="40" t="str">
        <f t="shared" ref="A125" si="7">CHAR(CODE(A124)+1)&amp;")"</f>
        <v>b)</v>
      </c>
      <c r="B125" s="65" t="s">
        <v>556</v>
      </c>
      <c r="C125" s="93" t="s">
        <v>106</v>
      </c>
      <c r="D125" s="92">
        <v>20</v>
      </c>
      <c r="E125" s="96"/>
      <c r="F125" s="74">
        <f t="shared" si="6"/>
        <v>0</v>
      </c>
    </row>
    <row r="126" spans="1:6" s="5" customFormat="1" x14ac:dyDescent="0.25">
      <c r="A126" s="40"/>
      <c r="B126" s="65"/>
      <c r="C126" s="93"/>
      <c r="D126" s="92"/>
      <c r="E126" s="96"/>
      <c r="F126" s="74"/>
    </row>
    <row r="127" spans="1:6" s="5" customFormat="1" ht="63" x14ac:dyDescent="0.25">
      <c r="A127" s="40">
        <f>COUNT(A$118:A126)+1</f>
        <v>3</v>
      </c>
      <c r="B127" s="65" t="s">
        <v>593</v>
      </c>
      <c r="C127" s="93" t="s">
        <v>107</v>
      </c>
      <c r="D127" s="92">
        <v>2</v>
      </c>
      <c r="E127" s="96"/>
      <c r="F127" s="74">
        <f>D127*E127</f>
        <v>0</v>
      </c>
    </row>
    <row r="128" spans="1:6" s="5" customFormat="1" x14ac:dyDescent="0.25">
      <c r="A128" s="40"/>
      <c r="B128" s="65"/>
      <c r="C128" s="93"/>
      <c r="D128" s="92"/>
      <c r="E128" s="96"/>
      <c r="F128" s="74"/>
    </row>
    <row r="129" spans="1:6" s="5" customFormat="1" x14ac:dyDescent="0.25">
      <c r="A129" s="40">
        <f>COUNT(A$118:A128)+1</f>
        <v>4</v>
      </c>
      <c r="B129" s="65" t="s">
        <v>594</v>
      </c>
      <c r="C129" s="93" t="s">
        <v>111</v>
      </c>
      <c r="D129" s="92">
        <v>1</v>
      </c>
      <c r="E129" s="96"/>
      <c r="F129" s="74">
        <f>D129*E129</f>
        <v>0</v>
      </c>
    </row>
    <row r="130" spans="1:6" s="5" customFormat="1" x14ac:dyDescent="0.25">
      <c r="A130" s="40"/>
      <c r="B130" s="65"/>
      <c r="C130" s="93"/>
      <c r="D130" s="92"/>
      <c r="E130" s="96"/>
      <c r="F130" s="74"/>
    </row>
    <row r="131" spans="1:6" s="5" customFormat="1" ht="31.5" x14ac:dyDescent="0.25">
      <c r="A131" s="40">
        <f>COUNT(A$118:A130)+1</f>
        <v>5</v>
      </c>
      <c r="B131" s="65" t="s">
        <v>595</v>
      </c>
      <c r="C131" s="93"/>
      <c r="D131" s="92"/>
      <c r="E131" s="96"/>
      <c r="F131" s="74"/>
    </row>
    <row r="132" spans="1:6" s="5" customFormat="1" x14ac:dyDescent="0.25">
      <c r="A132" s="40" t="s">
        <v>116</v>
      </c>
      <c r="B132" s="65" t="s">
        <v>596</v>
      </c>
      <c r="C132" s="93" t="s">
        <v>107</v>
      </c>
      <c r="D132" s="92">
        <v>4</v>
      </c>
      <c r="E132" s="96"/>
      <c r="F132" s="74">
        <f t="shared" ref="F132:F133" si="8">D132*E132</f>
        <v>0</v>
      </c>
    </row>
    <row r="133" spans="1:6" s="5" customFormat="1" x14ac:dyDescent="0.25">
      <c r="A133" s="40" t="str">
        <f t="shared" ref="A133" si="9">CHAR(CODE(A132)+1)&amp;")"</f>
        <v>b)</v>
      </c>
      <c r="B133" s="65" t="s">
        <v>597</v>
      </c>
      <c r="C133" s="93" t="s">
        <v>107</v>
      </c>
      <c r="D133" s="92">
        <v>2</v>
      </c>
      <c r="E133" s="96"/>
      <c r="F133" s="74">
        <f t="shared" si="8"/>
        <v>0</v>
      </c>
    </row>
    <row r="134" spans="1:6" s="5" customFormat="1" x14ac:dyDescent="0.25">
      <c r="A134" s="40"/>
      <c r="B134" s="65"/>
      <c r="C134" s="93"/>
      <c r="D134" s="92"/>
      <c r="E134" s="96"/>
      <c r="F134" s="74"/>
    </row>
    <row r="135" spans="1:6" s="5" customFormat="1" ht="31.5" x14ac:dyDescent="0.25">
      <c r="A135" s="40">
        <f>COUNT(A$118:A134)+1</f>
        <v>6</v>
      </c>
      <c r="B135" s="65" t="s">
        <v>598</v>
      </c>
      <c r="C135" s="93" t="s">
        <v>111</v>
      </c>
      <c r="D135" s="92">
        <v>1</v>
      </c>
      <c r="E135" s="96"/>
      <c r="F135" s="74">
        <f>D135*E135</f>
        <v>0</v>
      </c>
    </row>
    <row r="136" spans="1:6" s="5" customFormat="1" x14ac:dyDescent="0.25">
      <c r="A136" s="40"/>
      <c r="B136" s="65"/>
      <c r="C136" s="93"/>
      <c r="D136" s="92"/>
      <c r="E136" s="96"/>
      <c r="F136" s="74"/>
    </row>
    <row r="137" spans="1:6" ht="31.5" x14ac:dyDescent="0.25">
      <c r="A137" s="39"/>
      <c r="B137" s="21" t="str">
        <f>"UKUPNO - "&amp;TEXT(A118,) &amp;" " &amp;TEXT(B118,)&amp;" (€):"</f>
        <v>UKUPNO - C.8. INSTALACIJA RAČUNALNE I TELEFONSKE MREŽE (€):</v>
      </c>
      <c r="C137" s="82"/>
      <c r="D137" s="83"/>
      <c r="E137" s="98"/>
      <c r="F137" s="72">
        <f>SUM(F119:F136)</f>
        <v>0</v>
      </c>
    </row>
    <row r="138" spans="1:6" x14ac:dyDescent="0.25">
      <c r="B138" s="20"/>
      <c r="D138" s="81"/>
      <c r="E138" s="95"/>
      <c r="F138" s="72"/>
    </row>
    <row r="139" spans="1:6" x14ac:dyDescent="0.25">
      <c r="B139" s="20"/>
      <c r="E139" s="95"/>
    </row>
    <row r="140" spans="1:6" x14ac:dyDescent="0.25">
      <c r="A140" s="39" t="str">
        <f>TEXT($A$7,)&amp;"9."</f>
        <v>C.9.</v>
      </c>
      <c r="B140" s="21" t="s">
        <v>568</v>
      </c>
      <c r="C140" s="82"/>
      <c r="D140" s="83"/>
      <c r="E140" s="97"/>
      <c r="F140" s="70"/>
    </row>
    <row r="141" spans="1:6" x14ac:dyDescent="0.25">
      <c r="B141" s="20"/>
      <c r="F141" s="72"/>
    </row>
    <row r="142" spans="1:6" s="5" customFormat="1" ht="47.25" x14ac:dyDescent="0.25">
      <c r="A142" s="40">
        <f>COUNT(A$140:A141)+1</f>
        <v>1</v>
      </c>
      <c r="B142" s="65" t="s">
        <v>599</v>
      </c>
      <c r="C142" s="93" t="s">
        <v>107</v>
      </c>
      <c r="D142" s="92">
        <v>2</v>
      </c>
      <c r="E142" s="96"/>
      <c r="F142" s="74">
        <f>D142*E142</f>
        <v>0</v>
      </c>
    </row>
    <row r="143" spans="1:6" s="5" customFormat="1" x14ac:dyDescent="0.25">
      <c r="A143" s="40"/>
      <c r="B143" s="65"/>
      <c r="C143" s="93"/>
      <c r="D143" s="92"/>
      <c r="E143" s="96"/>
      <c r="F143" s="74"/>
    </row>
    <row r="144" spans="1:6" s="5" customFormat="1" ht="47.25" x14ac:dyDescent="0.25">
      <c r="A144" s="40">
        <f>COUNT(A$140:A143)+1</f>
        <v>2</v>
      </c>
      <c r="B144" s="65" t="s">
        <v>600</v>
      </c>
      <c r="C144" s="93" t="s">
        <v>107</v>
      </c>
      <c r="D144" s="92">
        <v>2</v>
      </c>
      <c r="E144" s="96"/>
      <c r="F144" s="74">
        <f>D144*E144</f>
        <v>0</v>
      </c>
    </row>
    <row r="145" spans="1:6" s="5" customFormat="1" x14ac:dyDescent="0.25">
      <c r="A145" s="40"/>
      <c r="B145" s="65"/>
      <c r="C145" s="93"/>
      <c r="D145" s="92"/>
      <c r="E145" s="96"/>
      <c r="F145" s="74"/>
    </row>
    <row r="146" spans="1:6" s="5" customFormat="1" ht="47.25" x14ac:dyDescent="0.25">
      <c r="A146" s="40">
        <f>COUNT(A$140:A145)+1</f>
        <v>3</v>
      </c>
      <c r="B146" s="65" t="s">
        <v>601</v>
      </c>
      <c r="C146" s="93" t="s">
        <v>107</v>
      </c>
      <c r="D146" s="92">
        <v>1</v>
      </c>
      <c r="E146" s="96"/>
      <c r="F146" s="74">
        <f>D146*E146</f>
        <v>0</v>
      </c>
    </row>
    <row r="147" spans="1:6" s="5" customFormat="1" x14ac:dyDescent="0.25">
      <c r="A147" s="40"/>
      <c r="B147" s="65"/>
      <c r="C147" s="93"/>
      <c r="D147" s="92"/>
      <c r="E147" s="96"/>
      <c r="F147" s="74"/>
    </row>
    <row r="148" spans="1:6" s="5" customFormat="1" ht="31.5" x14ac:dyDescent="0.25">
      <c r="A148" s="40">
        <f>COUNT(A$140:A147)+1</f>
        <v>4</v>
      </c>
      <c r="B148" s="65" t="s">
        <v>602</v>
      </c>
      <c r="C148" s="93" t="s">
        <v>107</v>
      </c>
      <c r="D148" s="92">
        <v>3</v>
      </c>
      <c r="E148" s="96"/>
      <c r="F148" s="74">
        <f>D148*E148</f>
        <v>0</v>
      </c>
    </row>
    <row r="149" spans="1:6" s="5" customFormat="1" x14ac:dyDescent="0.25">
      <c r="A149" s="40"/>
      <c r="B149" s="65"/>
      <c r="C149" s="93"/>
      <c r="D149" s="92"/>
      <c r="E149" s="96"/>
      <c r="F149" s="74"/>
    </row>
    <row r="150" spans="1:6" s="5" customFormat="1" x14ac:dyDescent="0.25">
      <c r="A150" s="40">
        <f>COUNT(A$140:A149)+1</f>
        <v>5</v>
      </c>
      <c r="B150" s="65" t="s">
        <v>603</v>
      </c>
      <c r="C150" s="93" t="s">
        <v>106</v>
      </c>
      <c r="D150" s="92">
        <v>50</v>
      </c>
      <c r="E150" s="96"/>
      <c r="F150" s="74">
        <f>D150*E150</f>
        <v>0</v>
      </c>
    </row>
    <row r="151" spans="1:6" s="5" customFormat="1" x14ac:dyDescent="0.25">
      <c r="A151" s="40"/>
      <c r="B151" s="65"/>
      <c r="C151" s="93"/>
      <c r="D151" s="92"/>
      <c r="E151" s="96"/>
      <c r="F151" s="74"/>
    </row>
    <row r="152" spans="1:6" s="5" customFormat="1" ht="31.5" x14ac:dyDescent="0.25">
      <c r="A152" s="40">
        <f>COUNT(A$140:A151)+1</f>
        <v>6</v>
      </c>
      <c r="B152" s="65" t="s">
        <v>604</v>
      </c>
      <c r="C152" s="93" t="s">
        <v>106</v>
      </c>
      <c r="D152" s="92">
        <v>40</v>
      </c>
      <c r="E152" s="96"/>
      <c r="F152" s="74">
        <f>D152*E152</f>
        <v>0</v>
      </c>
    </row>
    <row r="153" spans="1:6" s="5" customFormat="1" x14ac:dyDescent="0.25">
      <c r="A153" s="40"/>
      <c r="B153" s="65"/>
      <c r="C153" s="93"/>
      <c r="D153" s="92"/>
      <c r="E153" s="96"/>
      <c r="F153" s="74"/>
    </row>
    <row r="154" spans="1:6" s="5" customFormat="1" x14ac:dyDescent="0.25">
      <c r="A154" s="40">
        <f>COUNT(A$140:A153)+1</f>
        <v>7</v>
      </c>
      <c r="B154" s="65" t="s">
        <v>605</v>
      </c>
      <c r="C154" s="93" t="s">
        <v>111</v>
      </c>
      <c r="D154" s="92">
        <v>1</v>
      </c>
      <c r="E154" s="96"/>
      <c r="F154" s="74">
        <f>D154*E154</f>
        <v>0</v>
      </c>
    </row>
    <row r="155" spans="1:6" s="5" customFormat="1" x14ac:dyDescent="0.25">
      <c r="A155" s="40"/>
      <c r="B155" s="65"/>
      <c r="C155" s="93"/>
      <c r="D155" s="92"/>
      <c r="E155" s="96"/>
      <c r="F155" s="74"/>
    </row>
    <row r="156" spans="1:6" s="5" customFormat="1" x14ac:dyDescent="0.25">
      <c r="A156" s="40">
        <f>COUNT(A$140:A155)+1</f>
        <v>8</v>
      </c>
      <c r="B156" s="65" t="s">
        <v>606</v>
      </c>
      <c r="C156" s="93" t="s">
        <v>111</v>
      </c>
      <c r="D156" s="92">
        <v>1</v>
      </c>
      <c r="E156" s="96"/>
      <c r="F156" s="74">
        <f>D156*E156</f>
        <v>0</v>
      </c>
    </row>
    <row r="157" spans="1:6" s="5" customFormat="1" x14ac:dyDescent="0.25">
      <c r="A157" s="40"/>
      <c r="B157" s="65"/>
      <c r="C157" s="93"/>
      <c r="D157" s="92"/>
      <c r="E157" s="96"/>
      <c r="F157" s="74"/>
    </row>
    <row r="158" spans="1:6" x14ac:dyDescent="0.25">
      <c r="A158" s="39"/>
      <c r="B158" s="21" t="str">
        <f>"UKUPNO - "&amp;TEXT(A140,) &amp;" " &amp;TEXT(B140,)&amp;" (€):"</f>
        <v>UKUPNO - C.9. INSTALACIJA VATRODOJAVE (€):</v>
      </c>
      <c r="C158" s="82"/>
      <c r="D158" s="83"/>
      <c r="E158" s="98"/>
      <c r="F158" s="72">
        <f>SUM(F141:F157)</f>
        <v>0</v>
      </c>
    </row>
    <row r="159" spans="1:6" x14ac:dyDescent="0.25">
      <c r="B159" s="20"/>
      <c r="D159" s="81"/>
      <c r="E159" s="95"/>
      <c r="F159" s="72"/>
    </row>
    <row r="160" spans="1:6" x14ac:dyDescent="0.25">
      <c r="B160" s="20"/>
      <c r="E160" s="95"/>
    </row>
    <row r="161" spans="1:6" x14ac:dyDescent="0.25">
      <c r="B161" s="20"/>
      <c r="D161" s="81"/>
      <c r="E161" s="95"/>
      <c r="F161" s="72"/>
    </row>
    <row r="162" spans="1:6" x14ac:dyDescent="0.25">
      <c r="A162" s="105"/>
      <c r="B162" s="26" t="str">
        <f>"REKAPITULACIJA - "&amp;TEXT(A7,) &amp;" " &amp;TEXT(B7,)</f>
        <v>REKAPITULACIJA - C. ELEKTROINSTALACIJE</v>
      </c>
      <c r="C162" s="99"/>
      <c r="D162" s="100"/>
      <c r="E162" s="127"/>
      <c r="F162" s="76"/>
    </row>
    <row r="163" spans="1:6" x14ac:dyDescent="0.25">
      <c r="B163" s="25"/>
      <c r="C163" s="101"/>
      <c r="D163" s="102"/>
      <c r="E163" s="128"/>
      <c r="F163" s="77"/>
    </row>
    <row r="164" spans="1:6" x14ac:dyDescent="0.25">
      <c r="A164" s="38" t="str">
        <f>A9</f>
        <v>C.1.</v>
      </c>
      <c r="B164" s="20" t="str">
        <f>B9</f>
        <v>RADOVI DEMONTAŽE</v>
      </c>
      <c r="C164" s="80"/>
      <c r="D164" s="81"/>
      <c r="E164" s="95"/>
      <c r="F164" s="72">
        <f>F19</f>
        <v>0</v>
      </c>
    </row>
    <row r="165" spans="1:6" x14ac:dyDescent="0.25">
      <c r="B165" s="20"/>
      <c r="C165" s="101"/>
      <c r="D165" s="102"/>
      <c r="E165" s="128"/>
      <c r="F165" s="77"/>
    </row>
    <row r="166" spans="1:6" x14ac:dyDescent="0.25">
      <c r="A166" s="38" t="str">
        <f>A22</f>
        <v>C.2.</v>
      </c>
      <c r="B166" s="20" t="str">
        <f>B22</f>
        <v>RAZVODNI UREĐAJI I NAPOJNI VODOVI</v>
      </c>
      <c r="C166" s="80"/>
      <c r="D166" s="81"/>
      <c r="E166" s="95"/>
      <c r="F166" s="72">
        <f>F48</f>
        <v>0</v>
      </c>
    </row>
    <row r="167" spans="1:6" x14ac:dyDescent="0.25">
      <c r="B167" s="20"/>
      <c r="C167" s="80"/>
      <c r="D167" s="81"/>
      <c r="E167" s="95"/>
      <c r="F167" s="72"/>
    </row>
    <row r="168" spans="1:6" x14ac:dyDescent="0.25">
      <c r="A168" s="38" t="str">
        <f>A51</f>
        <v>C.3.</v>
      </c>
      <c r="B168" s="20" t="str">
        <f>B51</f>
        <v>IZJEDNAČENJE POTENCIJALA</v>
      </c>
      <c r="C168" s="80"/>
      <c r="D168" s="81"/>
      <c r="E168" s="95"/>
      <c r="F168" s="72">
        <f>F61</f>
        <v>0</v>
      </c>
    </row>
    <row r="169" spans="1:6" x14ac:dyDescent="0.25">
      <c r="B169" s="20"/>
      <c r="C169" s="101"/>
      <c r="D169" s="102"/>
      <c r="E169" s="128"/>
      <c r="F169" s="77"/>
    </row>
    <row r="170" spans="1:6" x14ac:dyDescent="0.25">
      <c r="A170" s="38" t="str">
        <f>A64</f>
        <v>C.4.</v>
      </c>
      <c r="B170" s="20" t="str">
        <f>B64</f>
        <v>INSTALACIJA PRIKLJUČNICA I EMP-A</v>
      </c>
      <c r="C170" s="80"/>
      <c r="D170" s="81"/>
      <c r="E170" s="95"/>
      <c r="F170" s="72">
        <f>F72</f>
        <v>0</v>
      </c>
    </row>
    <row r="171" spans="1:6" x14ac:dyDescent="0.25">
      <c r="B171" s="20"/>
      <c r="C171" s="101"/>
      <c r="D171" s="102"/>
      <c r="E171" s="128"/>
      <c r="F171" s="77"/>
    </row>
    <row r="172" spans="1:6" x14ac:dyDescent="0.25">
      <c r="A172" s="38" t="str">
        <f>A75</f>
        <v>C.5.</v>
      </c>
      <c r="B172" s="20" t="str">
        <f>B75</f>
        <v>INSTALACIJA ELEKTRIČNE RASVJETE</v>
      </c>
      <c r="C172" s="80"/>
      <c r="D172" s="81"/>
      <c r="E172" s="95"/>
      <c r="F172" s="72">
        <f>F93</f>
        <v>0</v>
      </c>
    </row>
    <row r="173" spans="1:6" x14ac:dyDescent="0.25">
      <c r="B173" s="20"/>
      <c r="C173" s="80"/>
      <c r="D173" s="81"/>
      <c r="E173" s="95"/>
      <c r="F173" s="72"/>
    </row>
    <row r="174" spans="1:6" x14ac:dyDescent="0.25">
      <c r="A174" s="38" t="str">
        <f>A96</f>
        <v>C.6.</v>
      </c>
      <c r="B174" s="20" t="str">
        <f>B96</f>
        <v>ISPITIVANJE I IZDAVANJE ATESTA</v>
      </c>
      <c r="C174" s="80"/>
      <c r="D174" s="81"/>
      <c r="E174" s="95"/>
      <c r="F174" s="72">
        <f>F108</f>
        <v>0</v>
      </c>
    </row>
    <row r="175" spans="1:6" x14ac:dyDescent="0.25">
      <c r="B175" s="20"/>
      <c r="C175" s="80"/>
      <c r="D175" s="81"/>
      <c r="E175" s="95"/>
      <c r="F175" s="72"/>
    </row>
    <row r="176" spans="1:6" x14ac:dyDescent="0.25">
      <c r="A176" s="38" t="str">
        <f>A111</f>
        <v>C.7.</v>
      </c>
      <c r="B176" s="20" t="str">
        <f>B111</f>
        <v>OSTALI RADOVI</v>
      </c>
      <c r="C176" s="80"/>
      <c r="D176" s="81"/>
      <c r="E176" s="95"/>
      <c r="F176" s="72">
        <f>F115</f>
        <v>0</v>
      </c>
    </row>
    <row r="177" spans="1:6" x14ac:dyDescent="0.25">
      <c r="B177" s="20"/>
      <c r="C177" s="101"/>
      <c r="D177" s="102"/>
      <c r="E177" s="128"/>
      <c r="F177" s="77"/>
    </row>
    <row r="178" spans="1:6" x14ac:dyDescent="0.25">
      <c r="A178" s="38" t="str">
        <f>A118</f>
        <v>C.8.</v>
      </c>
      <c r="B178" s="20" t="str">
        <f>B118</f>
        <v>INSTALACIJA RAČUNALNE I TELEFONSKE MREŽE</v>
      </c>
      <c r="C178" s="80"/>
      <c r="D178" s="81"/>
      <c r="E178" s="95"/>
      <c r="F178" s="72">
        <f>F137</f>
        <v>0</v>
      </c>
    </row>
    <row r="179" spans="1:6" x14ac:dyDescent="0.25">
      <c r="B179" s="20"/>
      <c r="C179" s="101"/>
      <c r="D179" s="102"/>
      <c r="E179" s="128"/>
      <c r="F179" s="77"/>
    </row>
    <row r="180" spans="1:6" x14ac:dyDescent="0.25">
      <c r="A180" s="38" t="str">
        <f>A140</f>
        <v>C.9.</v>
      </c>
      <c r="B180" s="20" t="str">
        <f>B140</f>
        <v>INSTALACIJA VATRODOJAVE</v>
      </c>
      <c r="C180" s="80"/>
      <c r="D180" s="81"/>
      <c r="E180" s="95"/>
      <c r="F180" s="72">
        <f>F158</f>
        <v>0</v>
      </c>
    </row>
    <row r="181" spans="1:6" x14ac:dyDescent="0.25">
      <c r="B181" s="20"/>
      <c r="C181" s="80"/>
      <c r="D181" s="81"/>
      <c r="E181" s="95"/>
      <c r="F181" s="72"/>
    </row>
    <row r="182" spans="1:6" s="3" customFormat="1" x14ac:dyDescent="0.2">
      <c r="A182" s="39"/>
      <c r="B182" s="21" t="str">
        <f>"UKUPNO - "&amp;TEXT(A7,) &amp;" " &amp;TEXT(B7,)&amp;" (€):"</f>
        <v>UKUPNO - C. ELEKTROINSTALACIJE (€):</v>
      </c>
      <c r="C182" s="82"/>
      <c r="D182" s="89"/>
      <c r="E182" s="98"/>
      <c r="F182" s="72">
        <f>SUM(F164:F181)</f>
        <v>0</v>
      </c>
    </row>
  </sheetData>
  <sheetProtection selectLockedCells="1"/>
  <dataValidations count="1">
    <dataValidation operator="lessThan" allowBlank="1" showInputMessage="1" showErrorMessage="1" sqref="A1:XFD1048576"/>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22"/>
  <sheetViews>
    <sheetView view="pageBreakPreview" zoomScaleNormal="100" zoomScaleSheetLayoutView="100" workbookViewId="0">
      <selection activeCell="C24" sqref="C24"/>
    </sheetView>
  </sheetViews>
  <sheetFormatPr defaultColWidth="17.7109375" defaultRowHeight="15.75" x14ac:dyDescent="0.25"/>
  <cols>
    <col min="1" max="1" width="5.7109375" style="13" customWidth="1"/>
    <col min="2" max="2" width="55.7109375" style="35" customWidth="1"/>
    <col min="3" max="3" width="8.7109375" style="50" customWidth="1"/>
    <col min="4" max="5" width="11.7109375" style="50" customWidth="1"/>
    <col min="6" max="6" width="17.7109375" style="161" customWidth="1"/>
    <col min="7" max="16384" width="17.7109375" style="9"/>
  </cols>
  <sheetData>
    <row r="1" spans="1:6" s="1" customFormat="1" x14ac:dyDescent="0.25">
      <c r="A1" s="103" t="str">
        <f>'A_GRAĐ-OBRT'!A1</f>
        <v xml:space="preserve">GRAĐEVINA: UČENIČKI DOM, k.č.br. 7475, MB 339164 k.o. CENTAR NOVI
</v>
      </c>
      <c r="B1" s="19"/>
      <c r="C1" s="106"/>
      <c r="D1" s="106"/>
      <c r="E1" s="120"/>
      <c r="F1" s="158"/>
    </row>
    <row r="2" spans="1:6" s="1" customFormat="1" x14ac:dyDescent="0.25">
      <c r="A2" s="103" t="str">
        <f>'A_GRAĐ-OBRT'!A2</f>
        <v>PROJEKT: UREĐENJE PROSTORA BIVŠEG CAFFE BARA</v>
      </c>
      <c r="B2" s="19"/>
      <c r="C2" s="106"/>
      <c r="D2" s="106"/>
      <c r="E2" s="120"/>
      <c r="F2" s="158"/>
    </row>
    <row r="3" spans="1:6" s="1" customFormat="1" x14ac:dyDescent="0.25">
      <c r="A3" s="103"/>
      <c r="B3" s="19"/>
      <c r="C3" s="106"/>
      <c r="D3" s="106"/>
      <c r="E3" s="120"/>
      <c r="F3" s="158"/>
    </row>
    <row r="5" spans="1:6" ht="21" x14ac:dyDescent="0.25">
      <c r="A5" s="43"/>
      <c r="B5" s="44" t="s">
        <v>6</v>
      </c>
      <c r="C5" s="47"/>
      <c r="D5" s="47"/>
      <c r="E5" s="47"/>
      <c r="F5" s="159"/>
    </row>
    <row r="8" spans="1:6" s="10" customFormat="1" ht="21" x14ac:dyDescent="0.2">
      <c r="A8" s="27"/>
      <c r="B8" s="29" t="s">
        <v>89</v>
      </c>
      <c r="C8" s="48"/>
      <c r="D8" s="49"/>
      <c r="E8" s="48"/>
      <c r="F8" s="160"/>
    </row>
    <row r="9" spans="1:6" ht="23.25" x14ac:dyDescent="0.25">
      <c r="A9" s="14"/>
      <c r="B9" s="30"/>
      <c r="E9" s="51"/>
    </row>
    <row r="10" spans="1:6" s="11" customFormat="1" ht="18.75" x14ac:dyDescent="0.3">
      <c r="A10" s="45" t="str">
        <f>'A_GRAĐ-OBRT'!A7</f>
        <v>A.</v>
      </c>
      <c r="B10" s="15" t="str">
        <f>TEXT('A_GRAĐ-OBRT'!B7,)</f>
        <v>GRAĐEVINSKO - OBRTNIČKI RADOVI</v>
      </c>
      <c r="C10" s="52"/>
      <c r="D10" s="52"/>
      <c r="E10" s="53" t="s">
        <v>63</v>
      </c>
      <c r="F10" s="179">
        <f>'A_GRAĐ-OBRT'!F433</f>
        <v>0</v>
      </c>
    </row>
    <row r="11" spans="1:6" s="11" customFormat="1" ht="18.75" x14ac:dyDescent="0.3">
      <c r="A11" s="46"/>
      <c r="B11" s="16"/>
      <c r="C11" s="54"/>
      <c r="D11" s="54"/>
      <c r="E11" s="55"/>
      <c r="F11" s="180"/>
    </row>
    <row r="12" spans="1:6" s="11" customFormat="1" ht="18.75" x14ac:dyDescent="0.3">
      <c r="A12" s="45" t="str">
        <f>B_VIO!A7</f>
        <v>B.</v>
      </c>
      <c r="B12" s="15" t="str">
        <f>B_VIO!B7</f>
        <v>VODOVOD I ODVODNJA</v>
      </c>
      <c r="C12" s="52"/>
      <c r="D12" s="52"/>
      <c r="E12" s="53" t="s">
        <v>63</v>
      </c>
      <c r="F12" s="179">
        <f>B_VIO!F117</f>
        <v>0</v>
      </c>
    </row>
    <row r="13" spans="1:6" s="11" customFormat="1" ht="18.75" x14ac:dyDescent="0.3">
      <c r="A13" s="46"/>
      <c r="B13" s="46"/>
      <c r="C13" s="54"/>
      <c r="D13" s="54"/>
      <c r="E13" s="55"/>
      <c r="F13" s="180"/>
    </row>
    <row r="14" spans="1:6" s="11" customFormat="1" ht="18.75" x14ac:dyDescent="0.3">
      <c r="A14" s="45" t="str">
        <f>C_ELEKTROINSTALACIJE!A7</f>
        <v>C.</v>
      </c>
      <c r="B14" s="15" t="str">
        <f>C_ELEKTROINSTALACIJE!B7</f>
        <v>ELEKTROINSTALACIJE</v>
      </c>
      <c r="C14" s="52"/>
      <c r="D14" s="52"/>
      <c r="E14" s="52"/>
      <c r="F14" s="179">
        <f>C_ELEKTROINSTALACIJE!F182</f>
        <v>0</v>
      </c>
    </row>
    <row r="15" spans="1:6" s="11" customFormat="1" ht="18.75" x14ac:dyDescent="0.3">
      <c r="A15" s="46"/>
      <c r="B15" s="139"/>
      <c r="C15" s="54"/>
      <c r="D15" s="54"/>
      <c r="E15" s="55"/>
      <c r="F15" s="180"/>
    </row>
    <row r="16" spans="1:6" s="11" customFormat="1" ht="18.75" x14ac:dyDescent="0.3">
      <c r="A16" s="16"/>
      <c r="B16" s="31"/>
      <c r="C16" s="54"/>
      <c r="D16" s="54"/>
      <c r="E16" s="54"/>
      <c r="F16" s="180"/>
    </row>
    <row r="17" spans="1:6" s="11" customFormat="1" ht="18.75" x14ac:dyDescent="0.3">
      <c r="A17" s="157"/>
      <c r="B17" s="32" t="s">
        <v>168</v>
      </c>
      <c r="C17" s="56"/>
      <c r="D17" s="56" t="s">
        <v>10</v>
      </c>
      <c r="E17" s="56"/>
      <c r="F17" s="181">
        <f>SUM(F10:F15)</f>
        <v>0</v>
      </c>
    </row>
    <row r="18" spans="1:6" s="11" customFormat="1" ht="18.75" x14ac:dyDescent="0.3">
      <c r="A18" s="16"/>
      <c r="B18" s="31"/>
      <c r="C18" s="54"/>
      <c r="D18" s="54"/>
      <c r="E18" s="57"/>
      <c r="F18" s="182"/>
    </row>
    <row r="19" spans="1:6" s="11" customFormat="1" ht="18.75" x14ac:dyDescent="0.3">
      <c r="A19" s="157"/>
      <c r="B19" s="33" t="s">
        <v>169</v>
      </c>
      <c r="C19" s="58"/>
      <c r="D19" s="58" t="s">
        <v>10</v>
      </c>
      <c r="E19" s="58"/>
      <c r="F19" s="183">
        <f>SUM(F10:F14)*0.25</f>
        <v>0</v>
      </c>
    </row>
    <row r="20" spans="1:6" s="11" customFormat="1" ht="19.5" thickBot="1" x14ac:dyDescent="0.35">
      <c r="A20" s="17"/>
      <c r="B20" s="34"/>
      <c r="C20" s="59"/>
      <c r="D20" s="59"/>
      <c r="E20" s="60"/>
      <c r="F20" s="184"/>
    </row>
    <row r="21" spans="1:6" s="11" customFormat="1" ht="20.25" thickTop="1" thickBot="1" x14ac:dyDescent="0.35">
      <c r="A21" s="155"/>
      <c r="B21" s="156" t="s">
        <v>170</v>
      </c>
      <c r="C21" s="61"/>
      <c r="D21" s="61"/>
      <c r="E21" s="61"/>
      <c r="F21" s="185">
        <f>SUM(F17:F19)</f>
        <v>0</v>
      </c>
    </row>
    <row r="22" spans="1:6" ht="16.5" thickTop="1" x14ac:dyDescent="0.25"/>
  </sheetData>
  <sheetProtection selectLockedCells="1"/>
  <dataValidations count="1">
    <dataValidation operator="lessThan" allowBlank="1" showInputMessage="1" showErrorMessage="1" sqref="A1:XFD1048576"/>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B2F4520036CF4EA3999548D9AC73BD" ma:contentTypeVersion="9" ma:contentTypeDescription="Create a new document." ma:contentTypeScope="" ma:versionID="e47dc042ace8e93b0513bb56e0978998">
  <xsd:schema xmlns:xsd="http://www.w3.org/2001/XMLSchema" xmlns:xs="http://www.w3.org/2001/XMLSchema" xmlns:p="http://schemas.microsoft.com/office/2006/metadata/properties" xmlns:ns2="ea7aa60c-0ed7-4395-902d-b3de6e05fa4f" xmlns:ns3="3c470b74-11a0-4239-9214-1bb725a09585" targetNamespace="http://schemas.microsoft.com/office/2006/metadata/properties" ma:root="true" ma:fieldsID="650cd5546075edea8a2fd09b43588579" ns2:_="" ns3:_="">
    <xsd:import namespace="ea7aa60c-0ed7-4395-902d-b3de6e05fa4f"/>
    <xsd:import namespace="3c470b74-11a0-4239-9214-1bb725a095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aa60c-0ed7-4395-902d-b3de6e05fa4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470b74-11a0-4239-9214-1bb725a095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310E3C-6436-40C1-A879-338F5D9275E0}">
  <ds:schemaRefs>
    <ds:schemaRef ds:uri="http://schemas.microsoft.com/sharepoint/v3/contenttype/forms"/>
  </ds:schemaRefs>
</ds:datastoreItem>
</file>

<file path=customXml/itemProps2.xml><?xml version="1.0" encoding="utf-8"?>
<ds:datastoreItem xmlns:ds="http://schemas.openxmlformats.org/officeDocument/2006/customXml" ds:itemID="{F0E97897-EF73-4B0C-A8AD-F6564E7C568D}">
  <ds:schemaRefs>
    <ds:schemaRef ds:uri="http://schemas.microsoft.com/office/infopath/2007/PartnerControls"/>
    <ds:schemaRef ds:uri="http://purl.org/dc/elements/1.1/"/>
    <ds:schemaRef ds:uri="http://schemas.microsoft.com/office/2006/metadata/properties"/>
    <ds:schemaRef ds:uri="3c470b74-11a0-4239-9214-1bb725a09585"/>
    <ds:schemaRef ds:uri="http://schemas.microsoft.com/office/2006/documentManagement/types"/>
    <ds:schemaRef ds:uri="http://purl.org/dc/terms/"/>
    <ds:schemaRef ds:uri="http://schemas.openxmlformats.org/package/2006/metadata/core-properties"/>
    <ds:schemaRef ds:uri="http://purl.org/dc/dcmitype/"/>
    <ds:schemaRef ds:uri="ea7aa60c-0ed7-4395-902d-b3de6e05fa4f"/>
    <ds:schemaRef ds:uri="http://www.w3.org/XML/1998/namespace"/>
  </ds:schemaRefs>
</ds:datastoreItem>
</file>

<file path=customXml/itemProps3.xml><?xml version="1.0" encoding="utf-8"?>
<ds:datastoreItem xmlns:ds="http://schemas.openxmlformats.org/officeDocument/2006/customXml" ds:itemID="{F83CE85D-A432-43C9-B3C9-E0CF78F62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aa60c-0ed7-4395-902d-b3de6e05fa4f"/>
    <ds:schemaRef ds:uri="3c470b74-11a0-4239-9214-1bb725a095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NASLOVNICA</vt:lpstr>
      <vt:lpstr>SADRŽAJ</vt:lpstr>
      <vt:lpstr>OPĆI OPIS</vt:lpstr>
      <vt:lpstr>OPĆI UVJETI_GRAĐ</vt:lpstr>
      <vt:lpstr>A_GRAĐ-OBRT</vt:lpstr>
      <vt:lpstr>B_VIO</vt:lpstr>
      <vt:lpstr>OPĆI UVJETI_ELE</vt:lpstr>
      <vt:lpstr>C_ELEKTROINSTALACIJE</vt:lpstr>
      <vt:lpstr>REKAPITULACIJA</vt:lpstr>
      <vt:lpstr>'A_GRAĐ-OBRT'!Print_Area</vt:lpstr>
      <vt:lpstr>B_VIO!Print_Area</vt:lpstr>
      <vt:lpstr>C_ELEKTROINSTALACIJE!Print_Area</vt:lpstr>
      <vt:lpstr>NASLOVNICA!Print_Area</vt:lpstr>
      <vt:lpstr>'OPĆI OPIS'!Print_Area</vt:lpstr>
      <vt:lpstr>'OPĆI UVJETI_ELE'!Print_Area</vt:lpstr>
      <vt:lpstr>'OPĆI UVJETI_GRAĐ'!Print_Area</vt:lpstr>
      <vt:lpstr>REKAPITULACIJA!Print_Area</vt:lpstr>
      <vt:lpstr>SADRŽAJ!Print_Area</vt:lpstr>
      <vt:lpstr>'A_GRAĐ-OBRT'!Print_Titles</vt:lpstr>
      <vt:lpstr>B_VIO!Print_Titles</vt:lpstr>
      <vt:lpstr>C_ELEKTROINSTALACIJE!Print_Titles</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ARRAKIS d.o.o.</dc:creator>
  <cp:lastModifiedBy>ARRAKIS</cp:lastModifiedBy>
  <cp:lastPrinted>2024-09-11T14:02:18Z</cp:lastPrinted>
  <dcterms:created xsi:type="dcterms:W3CDTF">2006-08-07T06:01:52Z</dcterms:created>
  <dcterms:modified xsi:type="dcterms:W3CDTF">2024-09-11T14:04:01Z</dcterms:modified>
</cp:coreProperties>
</file>